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626"/>
  <workbookPr codeName="ThisWorkbook" defaultThemeVersion="124226"/>
  <mc:AlternateContent xmlns:mc="http://schemas.openxmlformats.org/markup-compatibility/2006">
    <mc:Choice Requires="x15">
      <x15ac:absPath xmlns:x15ac="http://schemas.microsoft.com/office/spreadsheetml/2010/11/ac" url="C:\Users\Lee Keith\Documents\Astronomy\Telescopes\"/>
    </mc:Choice>
  </mc:AlternateContent>
  <xr:revisionPtr revIDLastSave="0" documentId="13_ncr:1_{2DB81345-AAF6-4828-902F-A98D1D3B1BAB}" xr6:coauthVersionLast="47" xr6:coauthVersionMax="47" xr10:uidLastSave="{00000000-0000-0000-0000-000000000000}"/>
  <bookViews>
    <workbookView xWindow="-110" yWindow="-110" windowWidth="19420" windowHeight="11020" xr2:uid="{00000000-000D-0000-FFFF-FFFF00000000}"/>
  </bookViews>
  <sheets>
    <sheet name="Any camera --&gt; any scope" sheetId="1" r:id="rId1"/>
    <sheet name="1 Camera for all scopes" sheetId="2" r:id="rId2"/>
    <sheet name="Data" sheetId="3" r:id="rId3"/>
  </sheets>
  <definedNames>
    <definedName name="Barlow">'1 Camera for all scopes'!$L$5</definedName>
    <definedName name="Binning">'1 Camera for all scopes'!$E$5</definedName>
    <definedName name="Height">'1 Camera for all scopes'!$C$5</definedName>
    <definedName name="PixelSize">'1 Camera for all scopes'!$B$5</definedName>
    <definedName name="Seeing">'1 Camera for all scopes'!$K$5</definedName>
    <definedName name="Size">'1 Camera for all scopes'!$I$5</definedName>
    <definedName name="Width">'1 Camera for all scopes'!$D$5</definedName>
  </definedNames>
  <calcPr calcId="181029"/>
</workbook>
</file>

<file path=xl/calcChain.xml><?xml version="1.0" encoding="utf-8"?>
<calcChain xmlns="http://schemas.openxmlformats.org/spreadsheetml/2006/main">
  <c r="D5" i="2" l="1"/>
  <c r="C5" i="2"/>
  <c r="B5" i="2"/>
  <c r="F10" i="2"/>
  <c r="F11" i="2"/>
  <c r="F13" i="2"/>
  <c r="F14" i="2"/>
  <c r="F15" i="2"/>
  <c r="F16" i="2"/>
  <c r="F17" i="2"/>
  <c r="F18" i="2"/>
  <c r="F19" i="2"/>
  <c r="F22" i="2"/>
  <c r="F23" i="2"/>
  <c r="F24" i="2"/>
  <c r="F25" i="2"/>
  <c r="F26" i="2"/>
  <c r="F27" i="2"/>
  <c r="E10" i="2"/>
  <c r="K10" i="2" s="1"/>
  <c r="E11" i="2"/>
  <c r="K11" i="2" s="1"/>
  <c r="E13" i="2"/>
  <c r="K13" i="2" s="1"/>
  <c r="E14" i="2"/>
  <c r="K14" i="2" s="1"/>
  <c r="E15" i="2"/>
  <c r="K15" i="2" s="1"/>
  <c r="E16" i="2"/>
  <c r="K16" i="2" s="1"/>
  <c r="E17" i="2"/>
  <c r="K17" i="2" s="1"/>
  <c r="E18" i="2"/>
  <c r="K18" i="2" s="1"/>
  <c r="E19" i="2"/>
  <c r="K19" i="2" s="1"/>
  <c r="E22" i="2"/>
  <c r="K22" i="2" s="1"/>
  <c r="E23" i="2"/>
  <c r="K23" i="2" s="1"/>
  <c r="E24" i="2"/>
  <c r="K24" i="2" s="1"/>
  <c r="E25" i="2"/>
  <c r="K25" i="2" s="1"/>
  <c r="E26" i="2"/>
  <c r="K26" i="2" s="1"/>
  <c r="E27" i="2"/>
  <c r="K27" i="2" s="1"/>
  <c r="E9" i="2"/>
  <c r="N16" i="2" l="1"/>
  <c r="N25" i="2"/>
  <c r="N26" i="2"/>
  <c r="N15" i="2"/>
  <c r="N19" i="2"/>
  <c r="N24" i="2"/>
  <c r="N14" i="2"/>
  <c r="N22" i="2"/>
  <c r="N11" i="2"/>
  <c r="N10" i="2"/>
  <c r="N18" i="2"/>
  <c r="N27" i="2"/>
  <c r="N17" i="2"/>
  <c r="N23" i="2"/>
  <c r="N13" i="2"/>
  <c r="N38" i="1"/>
  <c r="M38" i="1"/>
  <c r="R38" i="1" s="1"/>
  <c r="N37" i="1"/>
  <c r="M37" i="1"/>
  <c r="R37" i="1" s="1"/>
  <c r="N34" i="1"/>
  <c r="M34" i="1"/>
  <c r="R34" i="1" s="1"/>
  <c r="N33" i="1"/>
  <c r="M33" i="1"/>
  <c r="R33" i="1" s="1"/>
  <c r="N32" i="1"/>
  <c r="M32" i="1"/>
  <c r="R32" i="1" s="1"/>
  <c r="N18" i="1"/>
  <c r="M18" i="1"/>
  <c r="R18" i="1" s="1"/>
  <c r="N20" i="1"/>
  <c r="M20" i="1"/>
  <c r="R20" i="1" s="1"/>
  <c r="N19" i="1"/>
  <c r="M19" i="1"/>
  <c r="R19" i="1" s="1"/>
  <c r="M11" i="1"/>
  <c r="R11" i="1" s="1"/>
  <c r="O11" i="1" s="1"/>
  <c r="N11" i="1"/>
  <c r="K9" i="2"/>
  <c r="F9" i="2"/>
  <c r="N31" i="1"/>
  <c r="M31" i="1"/>
  <c r="R31" i="1" s="1"/>
  <c r="S31" i="1" s="1"/>
  <c r="N17" i="1"/>
  <c r="M17" i="1"/>
  <c r="R17" i="1" s="1"/>
  <c r="S17" i="1" s="1"/>
  <c r="M13" i="1"/>
  <c r="R13" i="1" s="1"/>
  <c r="P13" i="1" s="1"/>
  <c r="N13" i="1"/>
  <c r="N29" i="1"/>
  <c r="M29" i="1"/>
  <c r="R29" i="1" s="1"/>
  <c r="S29" i="1" s="1"/>
  <c r="N25" i="1"/>
  <c r="M25" i="1"/>
  <c r="R25" i="1" s="1"/>
  <c r="S25" i="1" s="1"/>
  <c r="N23" i="1"/>
  <c r="M23" i="1"/>
  <c r="R23" i="1" s="1"/>
  <c r="S23" i="1" s="1"/>
  <c r="N30" i="1"/>
  <c r="M30" i="1"/>
  <c r="R30" i="1" s="1"/>
  <c r="S30" i="1" s="1"/>
  <c r="N28" i="1"/>
  <c r="M28" i="1"/>
  <c r="R28" i="1" s="1"/>
  <c r="S28" i="1" s="1"/>
  <c r="N26" i="1"/>
  <c r="M26" i="1"/>
  <c r="R26" i="1" s="1"/>
  <c r="S26" i="1" s="1"/>
  <c r="N24" i="1"/>
  <c r="M24" i="1"/>
  <c r="R24" i="1" s="1"/>
  <c r="S24" i="1" s="1"/>
  <c r="N27" i="1"/>
  <c r="M27" i="1"/>
  <c r="R27" i="1" s="1"/>
  <c r="S27" i="1" s="1"/>
  <c r="N15" i="1"/>
  <c r="M15" i="1"/>
  <c r="R15" i="1" s="1"/>
  <c r="S15" i="1" s="1"/>
  <c r="X15" i="1" s="1"/>
  <c r="Z15" i="1" s="1"/>
  <c r="N12" i="1"/>
  <c r="M12" i="1"/>
  <c r="R12" i="1" s="1"/>
  <c r="S12" i="1" s="1"/>
  <c r="N16" i="1"/>
  <c r="M16" i="1"/>
  <c r="R16" i="1" s="1"/>
  <c r="S16" i="1" s="1"/>
  <c r="N14" i="1"/>
  <c r="M14" i="1"/>
  <c r="R14" i="1" s="1"/>
  <c r="S14" i="1" s="1"/>
  <c r="N9" i="1"/>
  <c r="M9" i="1"/>
  <c r="R9" i="1" s="1"/>
  <c r="S9" i="1" s="1"/>
  <c r="X9" i="1" s="1"/>
  <c r="Z9" i="1" s="1"/>
  <c r="N8" i="1"/>
  <c r="M8" i="1"/>
  <c r="R8" i="1" s="1"/>
  <c r="S8" i="1" s="1"/>
  <c r="X14" i="1" l="1"/>
  <c r="Z14" i="1" s="1"/>
  <c r="X27" i="1"/>
  <c r="Z27" i="1" s="1"/>
  <c r="X30" i="1"/>
  <c r="Z30" i="1" s="1"/>
  <c r="X17" i="1"/>
  <c r="Z17" i="1" s="1"/>
  <c r="N9" i="2"/>
  <c r="X16" i="1"/>
  <c r="Z16" i="1" s="1"/>
  <c r="X8" i="1"/>
  <c r="Z8" i="1" s="1"/>
  <c r="X12" i="1"/>
  <c r="Z12" i="1" s="1"/>
  <c r="X26" i="1"/>
  <c r="Z26" i="1" s="1"/>
  <c r="X24" i="1"/>
  <c r="Z24" i="1" s="1"/>
  <c r="X29" i="1"/>
  <c r="Z29" i="1" s="1"/>
  <c r="X28" i="1"/>
  <c r="Z28" i="1" s="1"/>
  <c r="X23" i="1"/>
  <c r="Z23" i="1" s="1"/>
  <c r="X25" i="1"/>
  <c r="Z25" i="1" s="1"/>
  <c r="X31" i="1"/>
  <c r="Z31" i="1" s="1"/>
  <c r="S38" i="1"/>
  <c r="U38" i="1"/>
  <c r="O38" i="1"/>
  <c r="P38" i="1"/>
  <c r="S37" i="1"/>
  <c r="V37" i="1" s="1"/>
  <c r="U37" i="1"/>
  <c r="O37" i="1"/>
  <c r="P37" i="1"/>
  <c r="S33" i="1"/>
  <c r="V33" i="1" s="1"/>
  <c r="U33" i="1"/>
  <c r="O33" i="1"/>
  <c r="P33" i="1"/>
  <c r="U32" i="1"/>
  <c r="O32" i="1"/>
  <c r="P32" i="1"/>
  <c r="S32" i="1"/>
  <c r="U34" i="1"/>
  <c r="O34" i="1"/>
  <c r="P34" i="1"/>
  <c r="S34" i="1"/>
  <c r="V34" i="1" s="1"/>
  <c r="P18" i="1"/>
  <c r="S18" i="1"/>
  <c r="U18" i="1"/>
  <c r="O18" i="1"/>
  <c r="P20" i="1"/>
  <c r="S20" i="1"/>
  <c r="U20" i="1"/>
  <c r="O20" i="1"/>
  <c r="P19" i="1"/>
  <c r="S19" i="1"/>
  <c r="U19" i="1"/>
  <c r="O19" i="1"/>
  <c r="S11" i="1"/>
  <c r="P11" i="1"/>
  <c r="U11" i="1"/>
  <c r="S13" i="1"/>
  <c r="X13" i="1" s="1"/>
  <c r="Z13" i="1" s="1"/>
  <c r="U31" i="1"/>
  <c r="O31" i="1"/>
  <c r="P31" i="1"/>
  <c r="U17" i="1"/>
  <c r="O17" i="1"/>
  <c r="P17" i="1"/>
  <c r="U13" i="1"/>
  <c r="O13" i="1"/>
  <c r="O27" i="1"/>
  <c r="P27" i="1"/>
  <c r="U27" i="1"/>
  <c r="U26" i="1"/>
  <c r="O26" i="1"/>
  <c r="P26" i="1"/>
  <c r="O30" i="1"/>
  <c r="P30" i="1"/>
  <c r="U30" i="1"/>
  <c r="U25" i="1"/>
  <c r="O25" i="1"/>
  <c r="P25" i="1"/>
  <c r="U24" i="1"/>
  <c r="O24" i="1"/>
  <c r="P24" i="1"/>
  <c r="U28" i="1"/>
  <c r="O28" i="1"/>
  <c r="P28" i="1"/>
  <c r="U23" i="1"/>
  <c r="O23" i="1"/>
  <c r="P23" i="1"/>
  <c r="U29" i="1"/>
  <c r="O29" i="1"/>
  <c r="P29" i="1"/>
  <c r="P8" i="1"/>
  <c r="U8" i="1"/>
  <c r="O8" i="1"/>
  <c r="U14" i="1"/>
  <c r="P14" i="1"/>
  <c r="O14" i="1"/>
  <c r="U15" i="1"/>
  <c r="P15" i="1"/>
  <c r="O15" i="1"/>
  <c r="U9" i="1"/>
  <c r="O9" i="1"/>
  <c r="P9" i="1"/>
  <c r="U16" i="1"/>
  <c r="O16" i="1"/>
  <c r="P16" i="1"/>
  <c r="U12" i="1"/>
  <c r="O12" i="1"/>
  <c r="P12" i="1"/>
  <c r="Y24" i="1" l="1"/>
  <c r="X33" i="1"/>
  <c r="Y33" i="1" s="1"/>
  <c r="X37" i="1"/>
  <c r="Y37" i="1" s="1"/>
  <c r="Y28" i="1"/>
  <c r="Z33" i="1"/>
  <c r="V11" i="1"/>
  <c r="X11" i="1"/>
  <c r="Z11" i="1" s="1"/>
  <c r="V38" i="1"/>
  <c r="X38" i="1"/>
  <c r="V32" i="1"/>
  <c r="X32" i="1"/>
  <c r="X34" i="1"/>
  <c r="V18" i="1"/>
  <c r="X18" i="1"/>
  <c r="V20" i="1"/>
  <c r="X20" i="1"/>
  <c r="V19" i="1"/>
  <c r="X19" i="1"/>
  <c r="V16" i="1"/>
  <c r="V30" i="1"/>
  <c r="V27" i="1"/>
  <c r="V23" i="1"/>
  <c r="V31" i="1"/>
  <c r="V12" i="1"/>
  <c r="V9" i="1"/>
  <c r="V29" i="1"/>
  <c r="V24" i="1"/>
  <c r="V28" i="1"/>
  <c r="V17" i="1"/>
  <c r="Y17" i="1"/>
  <c r="Y31" i="1"/>
  <c r="V13" i="1"/>
  <c r="Y13" i="1"/>
  <c r="Y29" i="1"/>
  <c r="Y30" i="1"/>
  <c r="Y27" i="1"/>
  <c r="V25" i="1"/>
  <c r="Y25" i="1"/>
  <c r="V26" i="1"/>
  <c r="Y26" i="1"/>
  <c r="Y23" i="1"/>
  <c r="Y12" i="1"/>
  <c r="Y9" i="1"/>
  <c r="V15" i="1"/>
  <c r="Y15" i="1"/>
  <c r="V14" i="1"/>
  <c r="Y14" i="1"/>
  <c r="V8" i="1"/>
  <c r="Y8" i="1"/>
  <c r="Y16" i="1"/>
  <c r="Z37" i="1" l="1"/>
  <c r="Y11" i="1"/>
  <c r="Y20" i="1"/>
  <c r="Z20" i="1"/>
  <c r="Y34" i="1"/>
  <c r="Z34" i="1"/>
  <c r="Y19" i="1"/>
  <c r="Z19" i="1"/>
  <c r="Y18" i="1"/>
  <c r="Z18" i="1"/>
  <c r="Y32" i="1"/>
  <c r="Z32" i="1"/>
  <c r="Y38" i="1"/>
  <c r="Z38" i="1"/>
  <c r="L9" i="2"/>
  <c r="O9" i="2" s="1"/>
  <c r="L22" i="2"/>
  <c r="O22" i="2" s="1"/>
  <c r="L18" i="2"/>
  <c r="Q18" i="2" s="1"/>
  <c r="L16" i="2"/>
  <c r="Q16" i="2" s="1"/>
  <c r="S16" i="2" s="1"/>
  <c r="L17" i="2"/>
  <c r="Q17" i="2" s="1"/>
  <c r="L24" i="2"/>
  <c r="Q24" i="2" s="1"/>
  <c r="L23" i="2"/>
  <c r="O23" i="2" s="1"/>
  <c r="L15" i="2"/>
  <c r="O15" i="2" s="1"/>
  <c r="L11" i="2"/>
  <c r="Q11" i="2" s="1"/>
  <c r="L26" i="2"/>
  <c r="O26" i="2" s="1"/>
  <c r="L14" i="2"/>
  <c r="O14" i="2" s="1"/>
  <c r="L27" i="2"/>
  <c r="Q27" i="2" s="1"/>
  <c r="L10" i="2"/>
  <c r="Q10" i="2" s="1"/>
  <c r="L19" i="2"/>
  <c r="O19" i="2" s="1"/>
  <c r="L25" i="2"/>
  <c r="O25" i="2" s="1"/>
  <c r="L13" i="2"/>
  <c r="Q13" i="2" s="1"/>
  <c r="S13" i="2" s="1"/>
  <c r="I9" i="2"/>
  <c r="H9" i="2"/>
  <c r="I15" i="2"/>
  <c r="H17" i="2"/>
  <c r="H14" i="2"/>
  <c r="I18" i="2"/>
  <c r="H24" i="2"/>
  <c r="I22" i="2"/>
  <c r="I27" i="2"/>
  <c r="I26" i="2"/>
  <c r="I11" i="2"/>
  <c r="H26" i="2"/>
  <c r="I17" i="2"/>
  <c r="H27" i="2"/>
  <c r="I25" i="2"/>
  <c r="I10" i="2"/>
  <c r="I14" i="2"/>
  <c r="H22" i="2"/>
  <c r="H11" i="2"/>
  <c r="H19" i="2"/>
  <c r="H16" i="2"/>
  <c r="I24" i="2"/>
  <c r="H25" i="2"/>
  <c r="H15" i="2"/>
  <c r="I13" i="2"/>
  <c r="H10" i="2"/>
  <c r="I23" i="2"/>
  <c r="H18" i="2"/>
  <c r="I19" i="2"/>
  <c r="I16" i="2"/>
  <c r="H13" i="2"/>
  <c r="H23" i="2"/>
  <c r="O16" i="2" l="1"/>
  <c r="O13" i="2"/>
  <c r="O11" i="2"/>
  <c r="O18" i="2"/>
  <c r="O24" i="2"/>
  <c r="Q23" i="2"/>
  <c r="S23" i="2" s="1"/>
  <c r="Q15" i="2"/>
  <c r="R15" i="2" s="1"/>
  <c r="R24" i="2"/>
  <c r="S24" i="2"/>
  <c r="Q9" i="2"/>
  <c r="S9" i="2" s="1"/>
  <c r="O10" i="2"/>
  <c r="O27" i="2"/>
  <c r="R27" i="2"/>
  <c r="S27" i="2"/>
  <c r="R17" i="2"/>
  <c r="S17" i="2"/>
  <c r="R11" i="2"/>
  <c r="S11" i="2"/>
  <c r="R10" i="2"/>
  <c r="S10" i="2"/>
  <c r="R18" i="2"/>
  <c r="S18" i="2"/>
  <c r="R13" i="2"/>
  <c r="R23" i="2"/>
  <c r="Q19" i="2"/>
  <c r="Q14" i="2"/>
  <c r="O17" i="2"/>
  <c r="R16" i="2"/>
  <c r="Q25" i="2"/>
  <c r="Q22" i="2"/>
  <c r="Q26" i="2"/>
  <c r="S15" i="2" l="1"/>
  <c r="R9" i="2"/>
  <c r="R22" i="2"/>
  <c r="S22" i="2"/>
  <c r="R26" i="2"/>
  <c r="S26" i="2"/>
  <c r="S14" i="2"/>
  <c r="R14" i="2"/>
  <c r="R19" i="2"/>
  <c r="S19" i="2"/>
  <c r="S25" i="2"/>
  <c r="R25" i="2"/>
</calcChain>
</file>

<file path=xl/sharedStrings.xml><?xml version="1.0" encoding="utf-8"?>
<sst xmlns="http://schemas.openxmlformats.org/spreadsheetml/2006/main" count="152" uniqueCount="80">
  <si>
    <t>Telescope Imaging Characteristics</t>
  </si>
  <si>
    <t>Telescope</t>
  </si>
  <si>
    <t>Camera</t>
  </si>
  <si>
    <t>f/</t>
  </si>
  <si>
    <r>
      <t>Pixel size (</t>
    </r>
    <r>
      <rPr>
        <sz val="11"/>
        <color theme="1"/>
        <rFont val="Calibri"/>
        <family val="2"/>
      </rPr>
      <t>μm)</t>
    </r>
  </si>
  <si>
    <t>Height (pixels)</t>
  </si>
  <si>
    <t>Width (pixels)</t>
  </si>
  <si>
    <t>Sky Coverage</t>
  </si>
  <si>
    <t>Width (arcmin)</t>
  </si>
  <si>
    <t>Height (arcmin)</t>
  </si>
  <si>
    <t>Barlow/ Focal Reducer Mag.</t>
  </si>
  <si>
    <t>Diameter (in)</t>
  </si>
  <si>
    <t>Image Scale</t>
  </si>
  <si>
    <t>Name</t>
  </si>
  <si>
    <t>C8 EdgeHD</t>
  </si>
  <si>
    <t>Performance</t>
  </si>
  <si>
    <t>Pixel Binning (nxn)</t>
  </si>
  <si>
    <t>arcsec/mm</t>
  </si>
  <si>
    <t>arcsec/pixel</t>
  </si>
  <si>
    <t>Toeller 10" LX200</t>
  </si>
  <si>
    <t>Tagney 12" LX200</t>
  </si>
  <si>
    <t>Lee's 180mm Mak</t>
  </si>
  <si>
    <t>Effective Focal Length (mm)</t>
  </si>
  <si>
    <t>Rayleigh Resolution Limit (arcsec)</t>
  </si>
  <si>
    <t>Object</t>
  </si>
  <si>
    <t>Size (arcsec)</t>
  </si>
  <si>
    <t>Halbach "A"</t>
  </si>
  <si>
    <t>Buckstaff "B"</t>
  </si>
  <si>
    <t>mm</t>
  </si>
  <si>
    <t>Pixels</t>
  </si>
  <si>
    <t>Jupiter</t>
  </si>
  <si>
    <t xml:space="preserve"> Nyquist Sampling Theorem</t>
  </si>
  <si>
    <t xml:space="preserve">Object Size </t>
  </si>
  <si>
    <t>Seeing (arcsec) 0= Rayleigh</t>
  </si>
  <si>
    <t>Conditions</t>
  </si>
  <si>
    <t>Pixels/ Seeing Limit</t>
  </si>
  <si>
    <t>Seeing</t>
  </si>
  <si>
    <t>(arcsec) 0= Rayleigh</t>
  </si>
  <si>
    <t>Rayleigh Resolution (arcsec)</t>
  </si>
  <si>
    <t>EFL (mm)</t>
  </si>
  <si>
    <t>Pixels/ Seeing</t>
  </si>
  <si>
    <t>Barlow Mag.</t>
  </si>
  <si>
    <t>Pixel Binning (nxn)*</t>
  </si>
  <si>
    <t>"G" Scope @f/8</t>
  </si>
  <si>
    <t>"G" Scope @f/11</t>
  </si>
  <si>
    <t>Mag. for Nyquist/ Seeing</t>
  </si>
  <si>
    <t xml:space="preserve">Mag. for Nyquist/ Seeing </t>
  </si>
  <si>
    <t>Enter info in yellow boxes. Values fill in below.</t>
  </si>
  <si>
    <t>This spreadsheet is for information on the MAS telescopes appropriate for imaging. Enter the telescope/camera/object combination to the left of the dark gray bar, info fills in on the right. The camera shown is for the MAS' Celestron Skyris camera. You can copy any line and change the telescope/camera/object info for any combination. There are blue web links explaining some of the concepts used here. 
Feel free to add more columns and share with MAS members.    * Binned pixels become the "logical pixels" used in calculations.</t>
  </si>
  <si>
    <t>60mm SolarMax</t>
  </si>
  <si>
    <t>Lunt LS80THa Solar Telescope</t>
  </si>
  <si>
    <t>5" Solar Refactor</t>
  </si>
  <si>
    <t>Skyris 132C</t>
  </si>
  <si>
    <t>Skyris 618M</t>
  </si>
  <si>
    <t>5" Solar Refractor</t>
  </si>
  <si>
    <t>6" f/6</t>
  </si>
  <si>
    <t>80mm ShortTube</t>
  </si>
  <si>
    <t>Sampling</t>
  </si>
  <si>
    <t xml:space="preserve">Mag. for Better/ Seeing </t>
  </si>
  <si>
    <t>Under Sampled (&lt;2px Red)   Nyquist Sample (&gt;=2 Yellow)      Better Sample (&gt;=3.5 Green)</t>
  </si>
  <si>
    <t>10" LX200</t>
  </si>
  <si>
    <t>"F" Scope</t>
  </si>
  <si>
    <t>Lunt LS80T Hα Solar Scope</t>
  </si>
  <si>
    <t>180mm Maksutov-Cass</t>
  </si>
  <si>
    <t>Mag. for Better/ Seeing</t>
  </si>
  <si>
    <t>Lee's Scopes:</t>
  </si>
  <si>
    <t>arcsec/ mm</t>
  </si>
  <si>
    <t>arcsec/ pixel</t>
  </si>
  <si>
    <t>DS-10</t>
  </si>
  <si>
    <t>UL-16</t>
  </si>
  <si>
    <t>60mm SolarMax II</t>
  </si>
  <si>
    <t>C9.25</t>
  </si>
  <si>
    <t>Pixel Size (μm)</t>
  </si>
  <si>
    <t>Camera Name</t>
  </si>
  <si>
    <t>DMK 51AU02.AS</t>
  </si>
  <si>
    <t>ZWO ASI290/462</t>
  </si>
  <si>
    <t>Moon</t>
  </si>
  <si>
    <t>Unistellar eVscope</t>
  </si>
  <si>
    <t>eVscope 1</t>
  </si>
  <si>
    <t>eVScope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</si>
</sst>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
  </numFmts>
  <fonts count="7" x14ac:knownFonts="1">
    <font>
      <sz val="11"/>
      <color theme="1"/>
      <name val="Calibri"/>
      <family val="2"/>
      <scheme val="minor"/>
    </font>
    <font>
      <sz val="11"/>
      <color theme="1"/>
      <name val="Calibri"/>
      <family val="2"/>
    </font>
    <font>
      <b/>
      <sz val="16"/>
      <color theme="1"/>
      <name val="Calibri"/>
      <family val="2"/>
      <scheme val="minor"/>
    </font>
    <font>
      <i/>
      <sz val="14"/>
      <color theme="1"/>
      <name val="Calibri"/>
      <family val="2"/>
      <scheme val="minor"/>
    </font>
    <font>
      <u/>
      <sz val="11"/>
      <color theme="10"/>
      <name val="Calibri"/>
      <family val="2"/>
    </font>
    <font>
      <b/>
      <sz val="12"/>
      <color theme="1"/>
      <name val="Calibri"/>
      <family val="2"/>
      <scheme val="minor"/>
    </font>
    <font>
      <b/>
      <sz val="11"/>
      <color theme="1"/>
      <name val="Calibri"/>
      <family val="2"/>
      <scheme val="minor"/>
    </font>
  </fonts>
  <fills count="9">
    <fill>
      <patternFill patternType="none"/>
    </fill>
    <fill>
      <patternFill patternType="gray125"/>
    </fill>
    <fill>
      <patternFill patternType="solid">
        <fgColor theme="0" tint="-0.14996795556505021"/>
        <bgColor indexed="64"/>
      </patternFill>
    </fill>
    <fill>
      <patternFill patternType="solid">
        <fgColor theme="0" tint="-0.34998626667073579"/>
        <bgColor indexed="64"/>
      </patternFill>
    </fill>
    <fill>
      <patternFill patternType="solid">
        <fgColor theme="3" tint="0.79998168889431442"/>
        <bgColor indexed="64"/>
      </patternFill>
    </fill>
    <fill>
      <patternFill patternType="solid">
        <fgColor theme="5" tint="0.39994506668294322"/>
        <bgColor indexed="64"/>
      </patternFill>
    </fill>
    <fill>
      <patternFill patternType="solid">
        <fgColor theme="0" tint="-0.14996795556505021"/>
        <bgColor auto="1"/>
      </patternFill>
    </fill>
    <fill>
      <patternFill patternType="solid">
        <fgColor rgb="FFFFFF00"/>
        <bgColor indexed="64"/>
      </patternFill>
    </fill>
    <fill>
      <patternFill patternType="solid">
        <fgColor theme="0" tint="-4.9989318521683403E-2"/>
        <bgColor indexed="64"/>
      </patternFill>
    </fill>
  </fills>
  <borders count="10">
    <border>
      <left/>
      <right/>
      <top/>
      <bottom/>
      <diagonal/>
    </border>
    <border>
      <left/>
      <right/>
      <top/>
      <bottom style="thin">
        <color auto="1"/>
      </bottom>
      <diagonal/>
    </border>
    <border>
      <left style="thin">
        <color auto="1"/>
      </left>
      <right/>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right style="thin">
        <color auto="1"/>
      </right>
      <top/>
      <bottom style="thin">
        <color auto="1"/>
      </bottom>
      <diagonal/>
    </border>
    <border>
      <left/>
      <right/>
      <top style="thin">
        <color auto="1"/>
      </top>
      <bottom/>
      <diagonal/>
    </border>
    <border>
      <left/>
      <right style="thin">
        <color auto="1"/>
      </right>
      <top/>
      <bottom/>
      <diagonal/>
    </border>
    <border>
      <left/>
      <right style="thin">
        <color auto="1"/>
      </right>
      <top style="thin">
        <color auto="1"/>
      </top>
      <bottom/>
      <diagonal/>
    </border>
    <border>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alignment vertical="top"/>
      <protection locked="0"/>
    </xf>
  </cellStyleXfs>
  <cellXfs count="59">
    <xf numFmtId="0" fontId="0" fillId="0" borderId="0" xfId="0"/>
    <xf numFmtId="0" fontId="2" fillId="0" borderId="1" xfId="0" applyFont="1" applyBorder="1"/>
    <xf numFmtId="0" fontId="0" fillId="0" borderId="1" xfId="0" applyBorder="1"/>
    <xf numFmtId="2" fontId="0" fillId="0" borderId="0" xfId="0" applyNumberFormat="1"/>
    <xf numFmtId="1" fontId="0" fillId="0" borderId="0" xfId="0" applyNumberFormat="1"/>
    <xf numFmtId="164" fontId="0" fillId="0" borderId="0" xfId="0" applyNumberFormat="1"/>
    <xf numFmtId="165" fontId="0" fillId="0" borderId="0" xfId="0" applyNumberFormat="1"/>
    <xf numFmtId="0" fontId="0" fillId="0" borderId="3" xfId="0" applyBorder="1"/>
    <xf numFmtId="0" fontId="0" fillId="0" borderId="3" xfId="0" applyBorder="1" applyAlignment="1">
      <alignment horizontal="right" wrapText="1"/>
    </xf>
    <xf numFmtId="0" fontId="0" fillId="0" borderId="3" xfId="0" applyBorder="1" applyAlignment="1">
      <alignment horizontal="right"/>
    </xf>
    <xf numFmtId="0" fontId="0" fillId="0" borderId="4" xfId="0" applyBorder="1" applyAlignment="1">
      <alignment horizontal="right" wrapText="1"/>
    </xf>
    <xf numFmtId="0" fontId="0" fillId="0" borderId="2" xfId="0" applyBorder="1" applyAlignment="1">
      <alignment horizontal="right" wrapText="1"/>
    </xf>
    <xf numFmtId="0" fontId="0" fillId="2" borderId="0" xfId="0" applyFill="1"/>
    <xf numFmtId="0" fontId="0" fillId="2" borderId="0" xfId="0" applyFill="1" applyAlignment="1">
      <alignment horizontal="right" wrapText="1"/>
    </xf>
    <xf numFmtId="2" fontId="0" fillId="2" borderId="0" xfId="0" applyNumberFormat="1" applyFill="1"/>
    <xf numFmtId="0" fontId="0" fillId="3" borderId="0" xfId="0" applyFill="1"/>
    <xf numFmtId="0" fontId="0" fillId="3" borderId="0" xfId="0" applyFill="1" applyAlignment="1">
      <alignment horizontal="right" wrapText="1"/>
    </xf>
    <xf numFmtId="0" fontId="0" fillId="2" borderId="0" xfId="0" applyFill="1" applyAlignment="1">
      <alignment horizontal="center"/>
    </xf>
    <xf numFmtId="164" fontId="0" fillId="2" borderId="0" xfId="0" applyNumberFormat="1" applyFill="1"/>
    <xf numFmtId="165" fontId="0" fillId="2" borderId="0" xfId="0" applyNumberFormat="1" applyFill="1"/>
    <xf numFmtId="0" fontId="0" fillId="0" borderId="0" xfId="0" applyAlignment="1">
      <alignment horizontal="right"/>
    </xf>
    <xf numFmtId="164" fontId="0" fillId="5" borderId="0" xfId="0" applyNumberFormat="1" applyFill="1"/>
    <xf numFmtId="0" fontId="4" fillId="0" borderId="0" xfId="1" applyAlignment="1" applyProtection="1"/>
    <xf numFmtId="0" fontId="4" fillId="0" borderId="3" xfId="1" applyBorder="1" applyAlignment="1" applyProtection="1">
      <alignment horizontal="right" wrapText="1"/>
    </xf>
    <xf numFmtId="0" fontId="0" fillId="0" borderId="0" xfId="0" applyAlignment="1">
      <alignment horizontal="right" wrapText="1"/>
    </xf>
    <xf numFmtId="0" fontId="4" fillId="0" borderId="0" xfId="1" applyBorder="1" applyAlignment="1" applyProtection="1">
      <alignment horizontal="right" wrapText="1"/>
    </xf>
    <xf numFmtId="0" fontId="4" fillId="5" borderId="0" xfId="1" applyFill="1" applyBorder="1" applyAlignment="1" applyProtection="1">
      <alignment horizontal="right" wrapText="1"/>
    </xf>
    <xf numFmtId="2" fontId="0" fillId="0" borderId="0" xfId="0" applyNumberFormat="1" applyAlignment="1">
      <alignment horizontal="right"/>
    </xf>
    <xf numFmtId="0" fontId="0" fillId="2" borderId="1" xfId="0" applyFill="1" applyBorder="1" applyAlignment="1">
      <alignment horizontal="right" wrapText="1"/>
    </xf>
    <xf numFmtId="1" fontId="0" fillId="2" borderId="0" xfId="0" applyNumberFormat="1" applyFill="1"/>
    <xf numFmtId="0" fontId="3" fillId="4" borderId="1" xfId="0" applyFont="1" applyFill="1" applyBorder="1"/>
    <xf numFmtId="0" fontId="0" fillId="4" borderId="1" xfId="0" applyFill="1" applyBorder="1"/>
    <xf numFmtId="0" fontId="3" fillId="4" borderId="2" xfId="0" applyFont="1" applyFill="1" applyBorder="1"/>
    <xf numFmtId="0" fontId="0" fillId="0" borderId="9" xfId="0" applyBorder="1" applyAlignment="1">
      <alignment horizontal="right" wrapText="1"/>
    </xf>
    <xf numFmtId="0" fontId="0" fillId="7" borderId="0" xfId="0" applyFill="1"/>
    <xf numFmtId="0" fontId="0" fillId="7" borderId="8" xfId="0" applyFill="1" applyBorder="1"/>
    <xf numFmtId="2" fontId="0" fillId="7" borderId="0" xfId="0" applyNumberFormat="1" applyFill="1"/>
    <xf numFmtId="0" fontId="4" fillId="0" borderId="0" xfId="1" applyBorder="1" applyAlignment="1" applyProtection="1">
      <alignment horizontal="center"/>
    </xf>
    <xf numFmtId="0" fontId="5" fillId="0" borderId="0" xfId="0" applyFont="1"/>
    <xf numFmtId="0" fontId="0" fillId="0" borderId="0" xfId="0" applyAlignment="1">
      <alignment wrapText="1"/>
    </xf>
    <xf numFmtId="0" fontId="0" fillId="0" borderId="0" xfId="0" applyAlignment="1">
      <alignment wrapText="1"/>
    </xf>
    <xf numFmtId="0" fontId="5" fillId="6" borderId="0" xfId="0" applyFont="1" applyFill="1" applyAlignment="1">
      <alignment horizontal="center"/>
    </xf>
    <xf numFmtId="0" fontId="0" fillId="0" borderId="0" xfId="0" applyAlignment="1">
      <alignment horizontal="center"/>
    </xf>
    <xf numFmtId="0" fontId="5" fillId="2" borderId="6" xfId="0" applyFont="1" applyFill="1" applyBorder="1" applyAlignment="1">
      <alignment horizontal="center"/>
    </xf>
    <xf numFmtId="0" fontId="0" fillId="0" borderId="6" xfId="0" applyBorder="1" applyAlignment="1">
      <alignment horizontal="center"/>
    </xf>
    <xf numFmtId="0" fontId="1" fillId="0" borderId="1" xfId="1" applyFont="1" applyBorder="1" applyAlignment="1" applyProtection="1">
      <alignment horizontal="center" wrapText="1"/>
    </xf>
    <xf numFmtId="0" fontId="0" fillId="0" borderId="1" xfId="0" applyBorder="1" applyAlignment="1">
      <alignment horizontal="center"/>
    </xf>
    <xf numFmtId="0" fontId="3" fillId="4" borderId="1" xfId="0" applyFont="1" applyFill="1" applyBorder="1"/>
    <xf numFmtId="0" fontId="0" fillId="4" borderId="1" xfId="0" applyFill="1" applyBorder="1"/>
    <xf numFmtId="0" fontId="0" fillId="4" borderId="5" xfId="0" applyFill="1" applyBorder="1"/>
    <xf numFmtId="0" fontId="3" fillId="4" borderId="2" xfId="0" applyFont="1" applyFill="1" applyBorder="1"/>
    <xf numFmtId="0" fontId="0" fillId="0" borderId="5" xfId="0" applyBorder="1" applyAlignment="1">
      <alignment horizontal="center"/>
    </xf>
    <xf numFmtId="0" fontId="3" fillId="4" borderId="0" xfId="0" applyFont="1" applyFill="1"/>
    <xf numFmtId="0" fontId="0" fillId="0" borderId="0" xfId="0"/>
    <xf numFmtId="0" fontId="0" fillId="0" borderId="7" xfId="0" applyBorder="1"/>
    <xf numFmtId="0" fontId="4" fillId="0" borderId="0" xfId="1" applyAlignment="1" applyProtection="1"/>
    <xf numFmtId="0" fontId="6" fillId="8" borderId="0" xfId="0" applyFont="1" applyFill="1" applyAlignment="1">
      <alignment wrapText="1"/>
    </xf>
    <xf numFmtId="0" fontId="1" fillId="0" borderId="1" xfId="1" applyFont="1" applyBorder="1" applyAlignment="1" applyProtection="1">
      <alignment horizontal="center"/>
    </xf>
    <xf numFmtId="0" fontId="0" fillId="0" borderId="1" xfId="0" applyBorder="1"/>
  </cellXfs>
  <cellStyles count="2">
    <cellStyle name="Hyperlink" xfId="1" builtinId="8"/>
    <cellStyle name="Normal" xfId="0" builtinId="0"/>
  </cellStyles>
  <dxfs count="8">
    <dxf>
      <fill>
        <patternFill>
          <bgColor rgb="FF92D050"/>
        </patternFill>
      </fill>
    </dxf>
    <dxf>
      <fill>
        <patternFill>
          <bgColor rgb="FFFFFF00"/>
        </patternFill>
      </fill>
    </dxf>
    <dxf>
      <fill>
        <patternFill>
          <bgColor rgb="FFFF9999"/>
        </patternFill>
      </fill>
    </dxf>
    <dxf>
      <fill>
        <patternFill patternType="none">
          <bgColor auto="1"/>
        </patternFill>
      </fill>
    </dxf>
    <dxf>
      <fill>
        <patternFill>
          <bgColor rgb="FF92D050"/>
        </patternFill>
      </fill>
    </dxf>
    <dxf>
      <fill>
        <patternFill>
          <bgColor rgb="FFFFFF00"/>
        </patternFill>
      </fill>
    </dxf>
    <dxf>
      <fill>
        <patternFill>
          <bgColor rgb="FFFF7C80"/>
        </patternFill>
      </fill>
    </dxf>
    <dxf>
      <fill>
        <patternFill patternType="none">
          <bgColor auto="1"/>
        </patternFill>
      </fill>
    </dxf>
  </dxfs>
  <tableStyles count="0" defaultTableStyle="TableStyleMedium9" defaultPivotStyle="PivotStyleLight16"/>
  <colors>
    <mruColors>
      <color rgb="FFFF7C80"/>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Drop" dropLines="5" dropStyle="combo" dx="22" fmlaLink="Data!$A$1" fmlaRange="Data!$A$3:$A$6" noThreeD="1" sel="1" val="0"/>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19050</xdr:colOff>
          <xdr:row>4</xdr:row>
          <xdr:rowOff>19050</xdr:rowOff>
        </xdr:from>
        <xdr:to>
          <xdr:col>0</xdr:col>
          <xdr:colOff>1543050</xdr:colOff>
          <xdr:row>5</xdr:row>
          <xdr:rowOff>31750</xdr:rowOff>
        </xdr:to>
        <xdr:sp macro="" textlink="">
          <xdr:nvSpPr>
            <xdr:cNvPr id="1026" name="Drop Down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en.wikipedia.org/wiki/Angular_resolution" TargetMode="External"/><Relationship Id="rId1" Type="http://schemas.openxmlformats.org/officeDocument/2006/relationships/hyperlink" Target="http://en.wikipedia.org/wiki/Nyquist%E2%80%93Shannon_sampling_theorem"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en.wikipedia.org/wiki/Nyquist%E2%80%93Shannon_sampling_theorem" TargetMode="External"/><Relationship Id="rId1" Type="http://schemas.openxmlformats.org/officeDocument/2006/relationships/hyperlink" Target="http://en.wikipedia.org/wiki/Angular_resolution"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1"/>
  <dimension ref="A1:AB39"/>
  <sheetViews>
    <sheetView tabSelected="1" workbookViewId="0">
      <pane ySplit="6" topLeftCell="A34" activePane="bottomLeft" state="frozen"/>
      <selection activeCell="C1" sqref="C1"/>
      <selection pane="bottomLeft" activeCell="B40" sqref="B40"/>
    </sheetView>
  </sheetViews>
  <sheetFormatPr defaultRowHeight="14.5" x14ac:dyDescent="0.35"/>
  <cols>
    <col min="1" max="1" width="16.7265625" customWidth="1"/>
    <col min="2" max="2" width="9.26953125" customWidth="1"/>
    <col min="3" max="3" width="5.26953125" customWidth="1"/>
    <col min="4" max="4" width="8.7265625" customWidth="1"/>
    <col min="5" max="5" width="7" customWidth="1"/>
    <col min="6" max="7" width="8.26953125" customWidth="1"/>
    <col min="8" max="10" width="8" customWidth="1"/>
    <col min="11" max="11" width="8.81640625" customWidth="1"/>
    <col min="12" max="12" width="3.7265625" customWidth="1"/>
    <col min="13" max="13" width="11.1796875" customWidth="1"/>
    <col min="14" max="14" width="10.26953125" customWidth="1"/>
    <col min="15" max="16" width="8.26953125" customWidth="1"/>
    <col min="17" max="17" width="1.7265625" customWidth="1"/>
    <col min="18" max="18" width="7.81640625" customWidth="1"/>
    <col min="19" max="19" width="7.54296875" customWidth="1"/>
    <col min="20" max="20" width="1.7265625" customWidth="1"/>
    <col min="21" max="21" width="7.81640625" customWidth="1"/>
    <col min="22" max="22" width="8" customWidth="1"/>
    <col min="23" max="23" width="1.7265625" customWidth="1"/>
    <col min="24" max="24" width="9" customWidth="1"/>
    <col min="25" max="25" width="9.81640625" customWidth="1"/>
    <col min="26" max="26" width="8.26953125" bestFit="1" customWidth="1"/>
    <col min="27" max="27" width="6.54296875" customWidth="1"/>
  </cols>
  <sheetData>
    <row r="1" spans="1:28" ht="21" x14ac:dyDescent="0.5">
      <c r="A1" s="1" t="s">
        <v>0</v>
      </c>
      <c r="B1" s="2"/>
      <c r="C1" s="2"/>
      <c r="D1" s="2"/>
      <c r="E1" s="2"/>
    </row>
    <row r="3" spans="1:28" ht="60" customHeight="1" x14ac:dyDescent="0.35">
      <c r="A3" s="40" t="s">
        <v>48</v>
      </c>
      <c r="B3" s="40"/>
      <c r="C3" s="40"/>
      <c r="D3" s="40"/>
      <c r="E3" s="40"/>
      <c r="F3" s="40"/>
      <c r="G3" s="40"/>
      <c r="H3" s="40"/>
      <c r="I3" s="40"/>
      <c r="J3" s="40"/>
      <c r="K3" s="40"/>
      <c r="L3" s="40"/>
      <c r="M3" s="40"/>
      <c r="N3" s="40"/>
      <c r="O3" s="40"/>
      <c r="P3" s="40"/>
      <c r="Q3" s="40"/>
      <c r="R3" s="40"/>
      <c r="S3" s="40"/>
      <c r="T3" s="40"/>
      <c r="U3" s="40"/>
      <c r="V3" s="40"/>
      <c r="W3" s="40"/>
      <c r="X3" s="40" t="s">
        <v>59</v>
      </c>
      <c r="Y3" s="40"/>
      <c r="Z3" s="40"/>
    </row>
    <row r="4" spans="1:28" x14ac:dyDescent="0.35">
      <c r="X4" s="22" t="s">
        <v>31</v>
      </c>
    </row>
    <row r="5" spans="1:28" ht="30.75" customHeight="1" x14ac:dyDescent="0.45">
      <c r="A5" s="47" t="s">
        <v>1</v>
      </c>
      <c r="B5" s="48"/>
      <c r="C5" s="48"/>
      <c r="D5" s="49"/>
      <c r="E5" s="50" t="s">
        <v>2</v>
      </c>
      <c r="F5" s="47"/>
      <c r="G5" s="47"/>
      <c r="H5" s="47"/>
      <c r="I5" s="50" t="s">
        <v>24</v>
      </c>
      <c r="J5" s="48"/>
      <c r="K5" s="32" t="s">
        <v>36</v>
      </c>
      <c r="L5" s="15"/>
      <c r="M5" s="46" t="s">
        <v>15</v>
      </c>
      <c r="N5" s="51"/>
      <c r="O5" s="46" t="s">
        <v>7</v>
      </c>
      <c r="P5" s="46"/>
      <c r="Q5" s="17"/>
      <c r="R5" s="46" t="s">
        <v>12</v>
      </c>
      <c r="S5" s="46"/>
      <c r="T5" s="17"/>
      <c r="U5" s="46" t="s">
        <v>32</v>
      </c>
      <c r="V5" s="46"/>
      <c r="W5" s="17"/>
      <c r="X5" s="45" t="s">
        <v>57</v>
      </c>
      <c r="Y5" s="45"/>
      <c r="Z5" s="46"/>
      <c r="AA5" s="37"/>
      <c r="AB5" s="37"/>
    </row>
    <row r="6" spans="1:28" ht="64.5" customHeight="1" x14ac:dyDescent="0.35">
      <c r="A6" s="7" t="s">
        <v>13</v>
      </c>
      <c r="B6" s="8" t="s">
        <v>11</v>
      </c>
      <c r="C6" s="9" t="s">
        <v>3</v>
      </c>
      <c r="D6" s="8" t="s">
        <v>10</v>
      </c>
      <c r="E6" s="10" t="s">
        <v>4</v>
      </c>
      <c r="F6" s="8" t="s">
        <v>5</v>
      </c>
      <c r="G6" s="8" t="s">
        <v>6</v>
      </c>
      <c r="H6" s="8" t="s">
        <v>42</v>
      </c>
      <c r="I6" s="11" t="s">
        <v>13</v>
      </c>
      <c r="J6" s="8" t="s">
        <v>25</v>
      </c>
      <c r="K6" s="10" t="s">
        <v>37</v>
      </c>
      <c r="L6" s="16"/>
      <c r="M6" s="8" t="s">
        <v>22</v>
      </c>
      <c r="N6" s="23" t="s">
        <v>23</v>
      </c>
      <c r="O6" s="8" t="s">
        <v>9</v>
      </c>
      <c r="P6" s="8" t="s">
        <v>8</v>
      </c>
      <c r="Q6" s="13"/>
      <c r="R6" s="8" t="s">
        <v>17</v>
      </c>
      <c r="S6" s="8" t="s">
        <v>18</v>
      </c>
      <c r="T6" s="13"/>
      <c r="U6" s="8" t="s">
        <v>28</v>
      </c>
      <c r="V6" s="8" t="s">
        <v>29</v>
      </c>
      <c r="W6" s="28"/>
      <c r="X6" s="24" t="s">
        <v>35</v>
      </c>
      <c r="Y6" s="24" t="s">
        <v>45</v>
      </c>
      <c r="Z6" s="24" t="s">
        <v>64</v>
      </c>
      <c r="AA6" s="24"/>
      <c r="AB6" s="24"/>
    </row>
    <row r="7" spans="1:28" ht="15" customHeight="1" x14ac:dyDescent="0.35">
      <c r="B7" s="24"/>
      <c r="C7" s="20"/>
      <c r="D7" s="24"/>
      <c r="E7" s="43" t="s">
        <v>75</v>
      </c>
      <c r="F7" s="44"/>
      <c r="G7" s="44"/>
      <c r="H7" s="44"/>
      <c r="I7" s="24"/>
      <c r="J7" s="24"/>
      <c r="K7" s="3"/>
      <c r="L7" s="16"/>
      <c r="M7" s="24"/>
      <c r="N7" s="25"/>
      <c r="O7" s="24"/>
      <c r="P7" s="24"/>
      <c r="Q7" s="13"/>
      <c r="R7" s="24"/>
      <c r="S7" s="24"/>
      <c r="T7" s="13"/>
      <c r="U7" s="24"/>
      <c r="V7" s="24"/>
      <c r="W7" s="13"/>
      <c r="X7" s="26"/>
    </row>
    <row r="8" spans="1:28" x14ac:dyDescent="0.35">
      <c r="A8" t="s">
        <v>20</v>
      </c>
      <c r="B8">
        <v>12</v>
      </c>
      <c r="C8">
        <v>10</v>
      </c>
      <c r="D8">
        <v>1</v>
      </c>
      <c r="E8">
        <v>2.9</v>
      </c>
      <c r="F8">
        <v>1036</v>
      </c>
      <c r="G8">
        <v>1936</v>
      </c>
      <c r="H8">
        <v>1</v>
      </c>
      <c r="I8" s="20" t="s">
        <v>30</v>
      </c>
      <c r="J8">
        <v>44</v>
      </c>
      <c r="K8">
        <v>1</v>
      </c>
      <c r="L8" s="15"/>
      <c r="M8" s="4">
        <f>B8*25.4*C8*D8</f>
        <v>3047.9999999999995</v>
      </c>
      <c r="N8" s="3">
        <f>137/(B8*25.4)</f>
        <v>0.44947506561679795</v>
      </c>
      <c r="O8" s="5">
        <f>R8*F8*E8/1000/60</f>
        <v>3.3885748359580052</v>
      </c>
      <c r="P8" s="5">
        <f>R8*G8*E8/1000/60</f>
        <v>6.3323174540682414</v>
      </c>
      <c r="Q8" s="18"/>
      <c r="R8" s="5">
        <f>206265/M8</f>
        <v>67.672244094488192</v>
      </c>
      <c r="S8" s="6">
        <f>R8*(E8/1000)*H8</f>
        <v>0.19624950787401574</v>
      </c>
      <c r="T8" s="19"/>
      <c r="U8" s="3">
        <f>J8/R8</f>
        <v>0.65019271325721761</v>
      </c>
      <c r="V8" s="4">
        <f>J8/S8</f>
        <v>224.2043838817992</v>
      </c>
      <c r="W8" s="29"/>
      <c r="X8" s="21">
        <f>IF(K8=0,N8,IF(K8&lt;N8,N8,K8))/S8</f>
        <v>5.0955541791318</v>
      </c>
      <c r="Y8" s="27" t="str">
        <f>IF(X8&lt;2,CONCATENATE(TEXT(2/X8,"#.##"),"x"),"&lt;na&gt;")</f>
        <v>&lt;na&gt;</v>
      </c>
      <c r="Z8" s="27" t="str">
        <f>IF(X8&lt;3.5,CONCATENATE(TEXT(3.5/X8,"#.##"),"x"),"&lt;na&gt;")</f>
        <v>&lt;na&gt;</v>
      </c>
      <c r="AA8" s="5"/>
      <c r="AB8" s="5"/>
    </row>
    <row r="9" spans="1:28" x14ac:dyDescent="0.35">
      <c r="A9" t="s">
        <v>26</v>
      </c>
      <c r="B9">
        <v>12.5</v>
      </c>
      <c r="C9">
        <v>8.86</v>
      </c>
      <c r="D9">
        <v>1</v>
      </c>
      <c r="E9">
        <v>2.9</v>
      </c>
      <c r="F9">
        <v>1036</v>
      </c>
      <c r="G9">
        <v>1936</v>
      </c>
      <c r="H9">
        <v>1</v>
      </c>
      <c r="I9" s="20" t="s">
        <v>30</v>
      </c>
      <c r="J9">
        <v>44</v>
      </c>
      <c r="K9">
        <v>1</v>
      </c>
      <c r="L9" s="15"/>
      <c r="M9" s="4">
        <f>B9*25.4*C9*D9</f>
        <v>2813.0499999999997</v>
      </c>
      <c r="N9" s="3">
        <f>137/(B9*25.4)</f>
        <v>0.43149606299212601</v>
      </c>
      <c r="O9" s="5">
        <f>R9*F9*E9/1000/60</f>
        <v>3.6715935017152206</v>
      </c>
      <c r="P9" s="5">
        <f>R9*G9*E9/1000/60</f>
        <v>6.8612017561010292</v>
      </c>
      <c r="Q9" s="18"/>
      <c r="R9" s="5">
        <f>206265/M9</f>
        <v>73.324327687030106</v>
      </c>
      <c r="S9" s="6">
        <f>R9*(E9/1000)*H9</f>
        <v>0.21264055029238729</v>
      </c>
      <c r="T9" s="19"/>
      <c r="U9" s="3">
        <f>J9/R9</f>
        <v>0.60007369161030699</v>
      </c>
      <c r="V9" s="4">
        <f>J9/S9</f>
        <v>206.9219626242438</v>
      </c>
      <c r="W9" s="29"/>
      <c r="X9" s="21">
        <f>IF(K9=0,N9,IF(K9&lt;N9,N9,K9))/S9</f>
        <v>4.7027718778237233</v>
      </c>
      <c r="Y9" s="27" t="str">
        <f>IF(X9&lt;2,CONCATENATE(TEXT(2/X9,"#.##"),"x"),"&lt;na&gt;")</f>
        <v>&lt;na&gt;</v>
      </c>
      <c r="Z9" s="27" t="str">
        <f t="shared" ref="Z9:Z38" si="0">IF(X9&lt;3.5,CONCATENATE(TEXT(3.5/X9,"#.##"),"x"),"&lt;na&gt;")</f>
        <v>&lt;na&gt;</v>
      </c>
      <c r="AA9" s="5"/>
      <c r="AB9" s="5"/>
    </row>
    <row r="10" spans="1:28" x14ac:dyDescent="0.35">
      <c r="I10" s="20"/>
      <c r="L10" s="15"/>
      <c r="M10" s="4"/>
      <c r="N10" s="3"/>
      <c r="O10" s="5"/>
      <c r="P10" s="5"/>
      <c r="Q10" s="18"/>
      <c r="R10" s="5"/>
      <c r="S10" s="6"/>
      <c r="T10" s="19"/>
      <c r="U10" s="3"/>
      <c r="V10" s="4"/>
      <c r="W10" s="29"/>
      <c r="X10" s="21"/>
      <c r="Y10" s="27"/>
      <c r="Z10" s="27"/>
      <c r="AA10" s="5"/>
      <c r="AB10" s="5"/>
    </row>
    <row r="11" spans="1:28" ht="15" customHeight="1" x14ac:dyDescent="0.35">
      <c r="A11" t="s">
        <v>44</v>
      </c>
      <c r="B11">
        <v>14</v>
      </c>
      <c r="C11">
        <v>11</v>
      </c>
      <c r="D11">
        <v>1</v>
      </c>
      <c r="E11">
        <v>2.9</v>
      </c>
      <c r="F11">
        <v>1036</v>
      </c>
      <c r="G11">
        <v>1936</v>
      </c>
      <c r="H11">
        <v>1</v>
      </c>
      <c r="I11" s="20" t="s">
        <v>30</v>
      </c>
      <c r="J11">
        <v>44</v>
      </c>
      <c r="K11">
        <v>1</v>
      </c>
      <c r="L11" s="15"/>
      <c r="M11" s="4">
        <f>B11*25.4*C11*D11</f>
        <v>3911.5999999999995</v>
      </c>
      <c r="N11" s="3">
        <f t="shared" ref="N11:N16" si="1">137/(B11*25.4)</f>
        <v>0.3852643419572554</v>
      </c>
      <c r="O11" s="5">
        <f t="shared" ref="O11:O18" si="2">R11*F11*E11/1000/60</f>
        <v>2.6404479241231216</v>
      </c>
      <c r="P11" s="5">
        <f t="shared" ref="P11:P18" si="3">R11*G11*E11/1000/60</f>
        <v>4.9342733408323962</v>
      </c>
      <c r="Q11" s="18"/>
      <c r="R11" s="5">
        <f>206265/M11</f>
        <v>52.73161877492587</v>
      </c>
      <c r="S11" s="6">
        <f>R11*(E11/1000)*H11</f>
        <v>0.15292169444728501</v>
      </c>
      <c r="T11" s="19"/>
      <c r="U11" s="3">
        <f t="shared" ref="U11:U18" si="4">J11/R11</f>
        <v>0.8344139820134292</v>
      </c>
      <c r="V11" s="4">
        <f t="shared" ref="V11:V18" si="5">J11/S11</f>
        <v>287.72895931497561</v>
      </c>
      <c r="W11" s="29"/>
      <c r="X11" s="21">
        <f t="shared" ref="X11:X18" si="6">IF(K11=0,N11,IF(K11&lt;N11,N11,K11))/S11</f>
        <v>6.5392945298858089</v>
      </c>
      <c r="Y11" s="27" t="str">
        <f>IF(X11&lt;2,CONCATENATE(TEXT(2/X11,"#.##"),"x"),"&lt;na&gt;")</f>
        <v>&lt;na&gt;</v>
      </c>
      <c r="Z11" s="27" t="str">
        <f t="shared" si="0"/>
        <v>&lt;na&gt;</v>
      </c>
      <c r="AA11" s="5"/>
      <c r="AB11" s="5"/>
    </row>
    <row r="12" spans="1:28" x14ac:dyDescent="0.35">
      <c r="A12" t="s">
        <v>43</v>
      </c>
      <c r="B12">
        <v>14</v>
      </c>
      <c r="C12">
        <v>8</v>
      </c>
      <c r="D12">
        <v>1</v>
      </c>
      <c r="E12">
        <v>2.9</v>
      </c>
      <c r="F12">
        <v>1036</v>
      </c>
      <c r="G12">
        <v>1936</v>
      </c>
      <c r="H12">
        <v>1</v>
      </c>
      <c r="I12" s="20" t="s">
        <v>30</v>
      </c>
      <c r="J12">
        <v>44</v>
      </c>
      <c r="K12">
        <v>1</v>
      </c>
      <c r="L12" s="15"/>
      <c r="M12" s="4">
        <f>B12*25.4*C12*D12</f>
        <v>2844.7999999999997</v>
      </c>
      <c r="N12" s="3">
        <f t="shared" si="1"/>
        <v>0.3852643419572554</v>
      </c>
      <c r="O12" s="5">
        <f t="shared" si="2"/>
        <v>3.6306158956692918</v>
      </c>
      <c r="P12" s="5">
        <f t="shared" si="3"/>
        <v>6.7846258436445446</v>
      </c>
      <c r="Q12" s="18"/>
      <c r="R12" s="5">
        <f>206265/M12</f>
        <v>72.505975815523072</v>
      </c>
      <c r="S12" s="6">
        <f t="shared" ref="S12:S18" si="7">R12*(E12/1000)*H12</f>
        <v>0.21026732986501689</v>
      </c>
      <c r="T12" s="19"/>
      <c r="U12" s="3">
        <f t="shared" si="4"/>
        <v>0.60684653237340302</v>
      </c>
      <c r="V12" s="4">
        <f t="shared" si="5"/>
        <v>209.25742495634589</v>
      </c>
      <c r="W12" s="29"/>
      <c r="X12" s="21">
        <f t="shared" si="6"/>
        <v>4.7558505671896789</v>
      </c>
      <c r="Y12" s="27" t="str">
        <f t="shared" ref="Y12:Y16" si="8">IF(X12&lt;2,CONCATENATE(TEXT(2/X12,"#.##"),"x"),"&lt;na&gt;")</f>
        <v>&lt;na&gt;</v>
      </c>
      <c r="Z12" s="27" t="str">
        <f t="shared" si="0"/>
        <v>&lt;na&gt;</v>
      </c>
      <c r="AA12" s="5"/>
      <c r="AB12" s="5"/>
    </row>
    <row r="13" spans="1:28" x14ac:dyDescent="0.35">
      <c r="A13" t="s">
        <v>21</v>
      </c>
      <c r="B13">
        <v>7.0869999999999997</v>
      </c>
      <c r="C13">
        <v>15</v>
      </c>
      <c r="D13">
        <v>1</v>
      </c>
      <c r="E13">
        <v>2.9</v>
      </c>
      <c r="F13">
        <v>1036</v>
      </c>
      <c r="G13">
        <v>1936</v>
      </c>
      <c r="H13">
        <v>1</v>
      </c>
      <c r="I13" s="20" t="s">
        <v>30</v>
      </c>
      <c r="J13">
        <v>44</v>
      </c>
      <c r="K13">
        <v>1</v>
      </c>
      <c r="L13" s="15"/>
      <c r="M13" s="4">
        <f t="shared" ref="M13:M16" si="9">B13*25.4*C13*D13</f>
        <v>2700.1469999999999</v>
      </c>
      <c r="N13" s="3">
        <f t="shared" si="1"/>
        <v>0.76106967509546708</v>
      </c>
      <c r="O13" s="5">
        <f t="shared" si="2"/>
        <v>3.8251162251536672</v>
      </c>
      <c r="P13" s="5">
        <f t="shared" si="3"/>
        <v>7.1480936408277023</v>
      </c>
      <c r="Q13" s="18"/>
      <c r="R13" s="5">
        <f t="shared" ref="R13:R16" si="10">206265/M13</f>
        <v>76.390285417793919</v>
      </c>
      <c r="S13" s="6">
        <f t="shared" si="7"/>
        <v>0.22153182771160235</v>
      </c>
      <c r="T13" s="19"/>
      <c r="U13" s="3">
        <f t="shared" si="4"/>
        <v>0.57598946985673771</v>
      </c>
      <c r="V13" s="4">
        <f t="shared" si="5"/>
        <v>198.61705857128888</v>
      </c>
      <c r="W13" s="29"/>
      <c r="X13" s="21">
        <f t="shared" si="6"/>
        <v>4.5140240584383839</v>
      </c>
      <c r="Y13" s="27" t="str">
        <f t="shared" si="8"/>
        <v>&lt;na&gt;</v>
      </c>
      <c r="Z13" s="27" t="str">
        <f t="shared" si="0"/>
        <v>&lt;na&gt;</v>
      </c>
      <c r="AA13" s="5"/>
      <c r="AB13" s="4"/>
    </row>
    <row r="14" spans="1:28" x14ac:dyDescent="0.35">
      <c r="A14" t="s">
        <v>27</v>
      </c>
      <c r="B14">
        <v>12.5</v>
      </c>
      <c r="C14">
        <v>7.4</v>
      </c>
      <c r="D14">
        <v>1</v>
      </c>
      <c r="E14">
        <v>2.9</v>
      </c>
      <c r="F14">
        <v>1036</v>
      </c>
      <c r="G14">
        <v>1936</v>
      </c>
      <c r="H14">
        <v>1</v>
      </c>
      <c r="I14" s="20" t="s">
        <v>30</v>
      </c>
      <c r="J14">
        <v>44</v>
      </c>
      <c r="K14">
        <v>1</v>
      </c>
      <c r="L14" s="15"/>
      <c r="M14" s="4">
        <f t="shared" si="9"/>
        <v>2349.5</v>
      </c>
      <c r="N14" s="3">
        <f t="shared" si="1"/>
        <v>0.43149606299212601</v>
      </c>
      <c r="O14" s="5">
        <f t="shared" si="2"/>
        <v>4.3959889763779527</v>
      </c>
      <c r="P14" s="5">
        <f t="shared" si="3"/>
        <v>8.2148983187912314</v>
      </c>
      <c r="Q14" s="18"/>
      <c r="R14" s="5">
        <f t="shared" si="10"/>
        <v>87.791019365822521</v>
      </c>
      <c r="S14" s="6">
        <f t="shared" si="7"/>
        <v>0.25459395616088532</v>
      </c>
      <c r="T14" s="19"/>
      <c r="U14" s="3">
        <f t="shared" si="4"/>
        <v>0.50119021646910522</v>
      </c>
      <c r="V14" s="4">
        <f t="shared" si="5"/>
        <v>172.82421257555353</v>
      </c>
      <c r="W14" s="29"/>
      <c r="X14" s="21">
        <f t="shared" si="6"/>
        <v>3.9278230130807619</v>
      </c>
      <c r="Y14" s="27" t="str">
        <f t="shared" si="8"/>
        <v>&lt;na&gt;</v>
      </c>
      <c r="Z14" s="27" t="str">
        <f t="shared" si="0"/>
        <v>&lt;na&gt;</v>
      </c>
      <c r="AA14" s="5"/>
      <c r="AB14" s="4"/>
    </row>
    <row r="15" spans="1:28" x14ac:dyDescent="0.35">
      <c r="A15" t="s">
        <v>14</v>
      </c>
      <c r="B15">
        <v>8</v>
      </c>
      <c r="C15">
        <v>10</v>
      </c>
      <c r="D15">
        <v>1</v>
      </c>
      <c r="E15">
        <v>2.9</v>
      </c>
      <c r="F15">
        <v>1036</v>
      </c>
      <c r="G15">
        <v>1936</v>
      </c>
      <c r="H15">
        <v>1</v>
      </c>
      <c r="I15" s="20" t="s">
        <v>30</v>
      </c>
      <c r="J15">
        <v>44</v>
      </c>
      <c r="K15">
        <v>1</v>
      </c>
      <c r="L15" s="15"/>
      <c r="M15" s="4">
        <f>B15*25.4*C15*D15</f>
        <v>2032</v>
      </c>
      <c r="N15" s="3">
        <f t="shared" si="1"/>
        <v>0.67421259842519687</v>
      </c>
      <c r="O15" s="5">
        <f t="shared" si="2"/>
        <v>5.0828622539370079</v>
      </c>
      <c r="P15" s="5">
        <f t="shared" si="3"/>
        <v>9.4984761811023599</v>
      </c>
      <c r="Q15" s="18"/>
      <c r="R15" s="5">
        <f>206265/M15</f>
        <v>101.50836614173228</v>
      </c>
      <c r="S15" s="6">
        <f t="shared" si="7"/>
        <v>0.29437426181102361</v>
      </c>
      <c r="T15" s="19"/>
      <c r="U15" s="3">
        <f t="shared" si="4"/>
        <v>0.43346180883814511</v>
      </c>
      <c r="V15" s="4">
        <f t="shared" si="5"/>
        <v>149.46958925453279</v>
      </c>
      <c r="W15" s="29"/>
      <c r="X15" s="21">
        <f t="shared" si="6"/>
        <v>3.3970361194212</v>
      </c>
      <c r="Y15" s="27" t="str">
        <f t="shared" si="8"/>
        <v>&lt;na&gt;</v>
      </c>
      <c r="Z15" s="27" t="str">
        <f t="shared" si="0"/>
        <v>1.03x</v>
      </c>
      <c r="AA15" s="5"/>
      <c r="AB15" s="4"/>
    </row>
    <row r="16" spans="1:28" x14ac:dyDescent="0.35">
      <c r="A16" t="s">
        <v>19</v>
      </c>
      <c r="B16">
        <v>10</v>
      </c>
      <c r="C16">
        <v>6.3</v>
      </c>
      <c r="D16">
        <v>1</v>
      </c>
      <c r="E16">
        <v>2.9</v>
      </c>
      <c r="F16">
        <v>1036</v>
      </c>
      <c r="G16">
        <v>1936</v>
      </c>
      <c r="H16">
        <v>1</v>
      </c>
      <c r="I16" s="20" t="s">
        <v>30</v>
      </c>
      <c r="J16">
        <v>44</v>
      </c>
      <c r="K16">
        <v>1</v>
      </c>
      <c r="L16" s="15"/>
      <c r="M16" s="4">
        <f t="shared" si="9"/>
        <v>1600.2</v>
      </c>
      <c r="N16" s="3">
        <f t="shared" si="1"/>
        <v>0.53937007874015752</v>
      </c>
      <c r="O16" s="5">
        <f t="shared" si="2"/>
        <v>6.454428258967627</v>
      </c>
      <c r="P16" s="5">
        <f t="shared" si="3"/>
        <v>12.061557055368079</v>
      </c>
      <c r="Q16" s="18"/>
      <c r="R16" s="5">
        <f t="shared" si="10"/>
        <v>128.89951256092988</v>
      </c>
      <c r="S16" s="6">
        <f t="shared" si="7"/>
        <v>0.37380858642669662</v>
      </c>
      <c r="T16" s="19"/>
      <c r="U16" s="3">
        <f t="shared" si="4"/>
        <v>0.34135117446003926</v>
      </c>
      <c r="V16" s="4">
        <f t="shared" si="5"/>
        <v>117.70730153794459</v>
      </c>
      <c r="W16" s="29"/>
      <c r="X16" s="21">
        <f t="shared" si="6"/>
        <v>2.6751659440441951</v>
      </c>
      <c r="Y16" s="27" t="str">
        <f t="shared" si="8"/>
        <v>&lt;na&gt;</v>
      </c>
      <c r="Z16" s="27" t="str">
        <f t="shared" si="0"/>
        <v>1.31x</v>
      </c>
      <c r="AA16" s="5"/>
      <c r="AB16" s="4"/>
    </row>
    <row r="17" spans="1:28" x14ac:dyDescent="0.35">
      <c r="A17" t="s">
        <v>61</v>
      </c>
      <c r="B17">
        <v>3.9369999999999998</v>
      </c>
      <c r="C17">
        <v>5.8</v>
      </c>
      <c r="D17">
        <v>1</v>
      </c>
      <c r="E17">
        <v>2.9</v>
      </c>
      <c r="F17">
        <v>1036</v>
      </c>
      <c r="G17">
        <v>1936</v>
      </c>
      <c r="H17">
        <v>1</v>
      </c>
      <c r="I17" s="20" t="s">
        <v>30</v>
      </c>
      <c r="J17">
        <v>44</v>
      </c>
      <c r="K17">
        <v>1</v>
      </c>
      <c r="L17" s="15"/>
      <c r="M17" s="4">
        <f t="shared" ref="M17:M18" si="11">B17*25.4*C17*D17</f>
        <v>579.99883999999997</v>
      </c>
      <c r="N17" s="3">
        <f t="shared" ref="N17:N18" si="12">137/(B17*25.4)</f>
        <v>1.3700027400054802</v>
      </c>
      <c r="O17" s="5">
        <f t="shared" si="2"/>
        <v>17.807580615161232</v>
      </c>
      <c r="P17" s="5">
        <f t="shared" si="3"/>
        <v>33.277486554973116</v>
      </c>
      <c r="Q17" s="18"/>
      <c r="R17" s="5">
        <f t="shared" ref="R17:R18" si="13">206265/M17</f>
        <v>355.63002160487082</v>
      </c>
      <c r="S17" s="6">
        <f t="shared" si="7"/>
        <v>1.0313270626541253</v>
      </c>
      <c r="T17" s="19"/>
      <c r="U17" s="3">
        <f t="shared" si="4"/>
        <v>0.12372408775119384</v>
      </c>
      <c r="V17" s="4">
        <f t="shared" si="5"/>
        <v>42.663478534894431</v>
      </c>
      <c r="W17" s="29"/>
      <c r="X17" s="21">
        <f t="shared" si="6"/>
        <v>1.3283882384311445</v>
      </c>
      <c r="Y17" s="27" t="str">
        <f t="shared" ref="Y17:Y18" si="14">IF(X17&lt;2,CONCATENATE(TEXT(2/X17,"#.##"),"x"),"&lt;na&gt;")</f>
        <v>1.51x</v>
      </c>
      <c r="Z17" s="27" t="str">
        <f t="shared" si="0"/>
        <v>2.63x</v>
      </c>
      <c r="AA17" s="5"/>
      <c r="AB17" s="4"/>
    </row>
    <row r="18" spans="1:28" x14ac:dyDescent="0.35">
      <c r="A18" t="s">
        <v>49</v>
      </c>
      <c r="B18">
        <v>2.36</v>
      </c>
      <c r="C18">
        <v>6.6669999999999998</v>
      </c>
      <c r="D18">
        <v>1</v>
      </c>
      <c r="E18">
        <v>2.9</v>
      </c>
      <c r="F18">
        <v>1036</v>
      </c>
      <c r="G18">
        <v>1936</v>
      </c>
      <c r="H18">
        <v>1</v>
      </c>
      <c r="I18" s="20" t="s">
        <v>30</v>
      </c>
      <c r="J18">
        <v>44</v>
      </c>
      <c r="K18">
        <v>2</v>
      </c>
      <c r="L18" s="15"/>
      <c r="M18" s="4">
        <f t="shared" si="11"/>
        <v>399.64664799999997</v>
      </c>
      <c r="N18" s="3">
        <f t="shared" si="12"/>
        <v>2.2854664353396505</v>
      </c>
      <c r="O18" s="5">
        <f t="shared" si="2"/>
        <v>25.843770119648298</v>
      </c>
      <c r="P18" s="5">
        <f t="shared" si="3"/>
        <v>48.294921767991404</v>
      </c>
      <c r="Q18" s="18"/>
      <c r="R18" s="5">
        <f t="shared" si="13"/>
        <v>516.11842869754287</v>
      </c>
      <c r="S18" s="6">
        <f t="shared" si="7"/>
        <v>1.4967434432228741</v>
      </c>
      <c r="T18" s="19"/>
      <c r="U18" s="3">
        <f t="shared" si="4"/>
        <v>8.525175144595544E-2</v>
      </c>
      <c r="V18" s="4">
        <f t="shared" si="5"/>
        <v>29.397155671019121</v>
      </c>
      <c r="W18" s="29"/>
      <c r="X18" s="21">
        <f t="shared" si="6"/>
        <v>1.5269593768311105</v>
      </c>
      <c r="Y18" s="27" t="str">
        <f t="shared" si="14"/>
        <v>1.31x</v>
      </c>
      <c r="Z18" s="27" t="str">
        <f t="shared" si="0"/>
        <v>2.29x</v>
      </c>
      <c r="AA18" s="5"/>
      <c r="AB18" s="4"/>
    </row>
    <row r="19" spans="1:28" x14ac:dyDescent="0.35">
      <c r="A19" t="s">
        <v>50</v>
      </c>
      <c r="B19">
        <v>3.15</v>
      </c>
      <c r="C19">
        <v>7</v>
      </c>
      <c r="D19">
        <v>1</v>
      </c>
      <c r="E19">
        <v>2.9</v>
      </c>
      <c r="F19">
        <v>1036</v>
      </c>
      <c r="G19">
        <v>1936</v>
      </c>
      <c r="H19">
        <v>1</v>
      </c>
      <c r="I19" s="20" t="s">
        <v>30</v>
      </c>
      <c r="J19">
        <v>44</v>
      </c>
      <c r="K19">
        <v>2</v>
      </c>
      <c r="L19" s="15"/>
      <c r="M19" s="4">
        <f t="shared" ref="M19" si="15">B19*25.4*C19*D19</f>
        <v>560.06999999999994</v>
      </c>
      <c r="N19" s="3">
        <f t="shared" ref="N19" si="16">137/(B19*25.4)</f>
        <v>1.7122859642544683</v>
      </c>
      <c r="O19" s="5">
        <f t="shared" ref="O19" si="17">R19*F19*E19/1000/60</f>
        <v>18.441223597050371</v>
      </c>
      <c r="P19" s="5">
        <f t="shared" ref="P19" si="18">R19*G19*E19/1000/60</f>
        <v>34.461591586765948</v>
      </c>
      <c r="Q19" s="18"/>
      <c r="R19" s="5">
        <f t="shared" ref="R19" si="19">206265/M19</f>
        <v>368.28432160265686</v>
      </c>
      <c r="S19" s="6">
        <f t="shared" ref="S19" si="20">R19*(E19/1000)*H19</f>
        <v>1.0680245326477049</v>
      </c>
      <c r="T19" s="19"/>
      <c r="U19" s="3">
        <f t="shared" ref="U19" si="21">J19/R19</f>
        <v>0.11947291106101372</v>
      </c>
      <c r="V19" s="4">
        <f t="shared" ref="V19" si="22">J19/S19</f>
        <v>41.197555538280596</v>
      </c>
      <c r="W19" s="29"/>
      <c r="X19" s="21">
        <f t="shared" ref="X19" si="23">IF(K19=0,N19,IF(K19&lt;N19,N19,K19))/S19</f>
        <v>1.8726161608309362</v>
      </c>
      <c r="Y19" s="27" t="str">
        <f t="shared" ref="Y19" si="24">IF(X19&lt;2,CONCATENATE(TEXT(2/X19,"#.##"),"x"),"&lt;na&gt;")</f>
        <v>1.07x</v>
      </c>
      <c r="Z19" s="27" t="str">
        <f t="shared" si="0"/>
        <v>1.87x</v>
      </c>
      <c r="AA19" s="5"/>
      <c r="AB19" s="4"/>
    </row>
    <row r="20" spans="1:28" x14ac:dyDescent="0.35">
      <c r="A20" t="s">
        <v>51</v>
      </c>
      <c r="B20">
        <v>5</v>
      </c>
      <c r="C20">
        <v>5</v>
      </c>
      <c r="D20">
        <v>1</v>
      </c>
      <c r="E20">
        <v>2.9</v>
      </c>
      <c r="F20">
        <v>1036</v>
      </c>
      <c r="G20">
        <v>1936</v>
      </c>
      <c r="H20">
        <v>1</v>
      </c>
      <c r="I20" s="20" t="s">
        <v>30</v>
      </c>
      <c r="J20">
        <v>44</v>
      </c>
      <c r="K20">
        <v>2</v>
      </c>
      <c r="L20" s="15"/>
      <c r="M20" s="4">
        <f t="shared" ref="M20" si="25">B20*25.4*C20*D20</f>
        <v>635</v>
      </c>
      <c r="N20" s="3">
        <f t="shared" ref="N20" si="26">137/(B20*25.4)</f>
        <v>1.078740157480315</v>
      </c>
      <c r="O20" s="5">
        <f t="shared" ref="O20" si="27">R20*F20*E20/1000/60</f>
        <v>16.265159212598423</v>
      </c>
      <c r="P20" s="5">
        <f t="shared" ref="P20" si="28">R20*G20*E20/1000/60</f>
        <v>30.395123779527559</v>
      </c>
      <c r="Q20" s="18"/>
      <c r="R20" s="5">
        <f t="shared" ref="R20" si="29">206265/M20</f>
        <v>324.82677165354329</v>
      </c>
      <c r="S20" s="6">
        <f t="shared" ref="S20" si="30">R20*(E20/1000)*H20</f>
        <v>0.94199763779527546</v>
      </c>
      <c r="T20" s="19"/>
      <c r="U20" s="3">
        <f t="shared" ref="U20" si="31">J20/R20</f>
        <v>0.13545681526192035</v>
      </c>
      <c r="V20" s="4">
        <f t="shared" ref="V20" si="32">J20/S20</f>
        <v>46.709246642041506</v>
      </c>
      <c r="W20" s="29"/>
      <c r="X20" s="21">
        <f t="shared" ref="X20" si="33">IF(K20=0,N20,IF(K20&lt;N20,N20,K20))/S20</f>
        <v>2.1231475746382502</v>
      </c>
      <c r="Y20" s="27" t="str">
        <f t="shared" ref="Y20" si="34">IF(X20&lt;2,CONCATENATE(TEXT(2/X20,"#.##"),"x"),"&lt;na&gt;")</f>
        <v>&lt;na&gt;</v>
      </c>
      <c r="Z20" s="27" t="str">
        <f t="shared" si="0"/>
        <v>1.65x</v>
      </c>
      <c r="AA20" s="5"/>
      <c r="AB20" s="4"/>
    </row>
    <row r="21" spans="1:28" x14ac:dyDescent="0.35">
      <c r="Z21" s="27"/>
    </row>
    <row r="22" spans="1:28" ht="15.5" x14ac:dyDescent="0.35">
      <c r="E22" s="41" t="s">
        <v>74</v>
      </c>
      <c r="F22" s="42"/>
      <c r="G22" s="42"/>
      <c r="H22" s="42"/>
      <c r="Z22" s="27"/>
    </row>
    <row r="23" spans="1:28" ht="15" customHeight="1" x14ac:dyDescent="0.35">
      <c r="A23" t="s">
        <v>44</v>
      </c>
      <c r="B23">
        <v>14</v>
      </c>
      <c r="C23">
        <v>11</v>
      </c>
      <c r="D23">
        <v>1</v>
      </c>
      <c r="E23">
        <v>4.4000000000000004</v>
      </c>
      <c r="F23">
        <v>1200</v>
      </c>
      <c r="G23">
        <v>1600</v>
      </c>
      <c r="H23">
        <v>1</v>
      </c>
      <c r="I23" s="20" t="s">
        <v>76</v>
      </c>
      <c r="J23">
        <v>1860</v>
      </c>
      <c r="K23">
        <v>1</v>
      </c>
      <c r="L23" s="15"/>
      <c r="M23" s="4">
        <f>B23*25.4*C23*D23</f>
        <v>3911.5999999999995</v>
      </c>
      <c r="N23" s="3">
        <f>137/(B23*25.4)</f>
        <v>0.3852643419572554</v>
      </c>
      <c r="O23" s="5">
        <f t="shared" ref="O23:O31" si="35">R23*F23*E23/1000/60</f>
        <v>4.6403824521934771</v>
      </c>
      <c r="P23" s="5">
        <f t="shared" ref="P23:P31" si="36">R23*G23*E23/1000/60</f>
        <v>6.1871766029246364</v>
      </c>
      <c r="Q23" s="18"/>
      <c r="R23" s="5">
        <f>206265/M23</f>
        <v>52.73161877492587</v>
      </c>
      <c r="S23" s="6">
        <f>R23*(E23/1000)*H23</f>
        <v>0.23201912260967383</v>
      </c>
      <c r="T23" s="19"/>
      <c r="U23" s="3">
        <f t="shared" ref="U23:U31" si="37">J23/R23</f>
        <v>35.272954694204053</v>
      </c>
      <c r="V23" s="4">
        <f t="shared" ref="V23:V31" si="38">J23/S23</f>
        <v>8016.5806123191023</v>
      </c>
      <c r="W23" s="4"/>
      <c r="X23" s="21">
        <f t="shared" ref="X23:X31" si="39">IF(K23=0,N23,IF(K23&lt;N23,N23,K23))/S23</f>
        <v>4.3099895765156466</v>
      </c>
      <c r="Y23" s="27" t="str">
        <f>IF(X23&lt;2,CONCATENATE(TEXT(2/X23,"#.##"),"x"),"&lt;na&gt;")</f>
        <v>&lt;na&gt;</v>
      </c>
      <c r="Z23" s="27" t="str">
        <f t="shared" si="0"/>
        <v>&lt;na&gt;</v>
      </c>
      <c r="AA23" s="5"/>
      <c r="AB23" s="4"/>
    </row>
    <row r="24" spans="1:28" x14ac:dyDescent="0.35">
      <c r="A24" t="s">
        <v>20</v>
      </c>
      <c r="B24">
        <v>12</v>
      </c>
      <c r="C24">
        <v>10</v>
      </c>
      <c r="D24">
        <v>1</v>
      </c>
      <c r="E24">
        <v>4.4000000000000004</v>
      </c>
      <c r="F24">
        <v>1200</v>
      </c>
      <c r="G24">
        <v>1600</v>
      </c>
      <c r="H24">
        <v>1</v>
      </c>
      <c r="I24" s="20" t="s">
        <v>76</v>
      </c>
      <c r="J24">
        <v>1860</v>
      </c>
      <c r="K24">
        <v>1</v>
      </c>
      <c r="L24" s="15"/>
      <c r="M24" s="4">
        <f>B24*25.4*C24*D24</f>
        <v>3047.9999999999995</v>
      </c>
      <c r="N24" s="3">
        <f>137/(B24*25.4)</f>
        <v>0.44947506561679795</v>
      </c>
      <c r="O24" s="5">
        <f t="shared" si="35"/>
        <v>5.9551574803149618</v>
      </c>
      <c r="P24" s="5">
        <f t="shared" si="36"/>
        <v>7.9402099737532827</v>
      </c>
      <c r="Q24" s="18"/>
      <c r="R24" s="5">
        <f>206265/M24</f>
        <v>67.672244094488192</v>
      </c>
      <c r="S24" s="6">
        <f t="shared" ref="S24:S31" si="40">R24*(E24/1000)*H24</f>
        <v>0.29775787401574805</v>
      </c>
      <c r="T24" s="19"/>
      <c r="U24" s="3">
        <f t="shared" si="37"/>
        <v>27.485419242236926</v>
      </c>
      <c r="V24" s="4">
        <f t="shared" si="38"/>
        <v>6246.6861914174833</v>
      </c>
      <c r="W24" s="4"/>
      <c r="X24" s="21">
        <f t="shared" si="39"/>
        <v>3.3584334362459587</v>
      </c>
      <c r="Y24" s="27" t="str">
        <f>IF(X24&lt;2,CONCATENATE(TEXT(2/X24,"#.##"),"x"),"&lt;na&gt;")</f>
        <v>&lt;na&gt;</v>
      </c>
      <c r="Z24" s="27" t="str">
        <f t="shared" si="0"/>
        <v>1.04x</v>
      </c>
      <c r="AA24" s="5"/>
      <c r="AB24" s="4"/>
    </row>
    <row r="25" spans="1:28" x14ac:dyDescent="0.35">
      <c r="A25" t="s">
        <v>43</v>
      </c>
      <c r="B25">
        <v>14</v>
      </c>
      <c r="C25">
        <v>8</v>
      </c>
      <c r="D25">
        <v>1</v>
      </c>
      <c r="E25">
        <v>4.4000000000000004</v>
      </c>
      <c r="F25">
        <v>1200</v>
      </c>
      <c r="G25">
        <v>1600</v>
      </c>
      <c r="H25">
        <v>1</v>
      </c>
      <c r="I25" s="20" t="s">
        <v>76</v>
      </c>
      <c r="J25">
        <v>1860</v>
      </c>
      <c r="K25">
        <v>1</v>
      </c>
      <c r="L25" s="15"/>
      <c r="M25" s="4">
        <f>B25*25.4*C25*D25</f>
        <v>2844.7999999999997</v>
      </c>
      <c r="N25" s="3">
        <f>137/(B25*25.4)</f>
        <v>0.3852643419572554</v>
      </c>
      <c r="O25" s="5">
        <f t="shared" si="35"/>
        <v>6.3805258717660314</v>
      </c>
      <c r="P25" s="5">
        <f t="shared" si="36"/>
        <v>8.5073678290213728</v>
      </c>
      <c r="Q25" s="18"/>
      <c r="R25" s="5">
        <f>206265/M25</f>
        <v>72.505975815523072</v>
      </c>
      <c r="S25" s="6">
        <f t="shared" si="40"/>
        <v>0.31902629358830153</v>
      </c>
      <c r="T25" s="19"/>
      <c r="U25" s="3">
        <f t="shared" si="37"/>
        <v>25.65305795942113</v>
      </c>
      <c r="V25" s="4">
        <f t="shared" si="38"/>
        <v>5830.2404453229838</v>
      </c>
      <c r="W25" s="4"/>
      <c r="X25" s="21">
        <f t="shared" si="39"/>
        <v>3.1345378738295611</v>
      </c>
      <c r="Y25" s="27" t="str">
        <f>IF(X25&lt;2,CONCATENATE(TEXT(2/X25,"#.##"),"x"),"&lt;na&gt;")</f>
        <v>&lt;na&gt;</v>
      </c>
      <c r="Z25" s="27" t="str">
        <f t="shared" si="0"/>
        <v>1.12x</v>
      </c>
      <c r="AA25" s="5"/>
      <c r="AB25" s="4"/>
    </row>
    <row r="26" spans="1:28" x14ac:dyDescent="0.35">
      <c r="A26" t="s">
        <v>26</v>
      </c>
      <c r="B26">
        <v>12.5</v>
      </c>
      <c r="C26">
        <v>8.86</v>
      </c>
      <c r="D26">
        <v>1</v>
      </c>
      <c r="E26">
        <v>4.4000000000000004</v>
      </c>
      <c r="F26">
        <v>1200</v>
      </c>
      <c r="G26">
        <v>1600</v>
      </c>
      <c r="H26">
        <v>1</v>
      </c>
      <c r="I26" s="20" t="s">
        <v>76</v>
      </c>
      <c r="J26">
        <v>1860</v>
      </c>
      <c r="K26">
        <v>1</v>
      </c>
      <c r="L26" s="15"/>
      <c r="M26" s="4">
        <f t="shared" ref="M26:M30" si="41">B26*25.4*C26*D26</f>
        <v>2813.0499999999997</v>
      </c>
      <c r="N26" s="3">
        <f t="shared" ref="N26:N30" si="42">137/(B26*25.4)</f>
        <v>0.43149606299212601</v>
      </c>
      <c r="O26" s="5">
        <f t="shared" si="35"/>
        <v>6.4525408364586498</v>
      </c>
      <c r="P26" s="5">
        <f t="shared" si="36"/>
        <v>8.6033877819448659</v>
      </c>
      <c r="Q26" s="18"/>
      <c r="R26" s="5">
        <f t="shared" ref="R26:R30" si="43">206265/M26</f>
        <v>73.324327687030106</v>
      </c>
      <c r="S26" s="6">
        <f t="shared" si="40"/>
        <v>0.3226270418229325</v>
      </c>
      <c r="T26" s="19"/>
      <c r="U26" s="3">
        <f t="shared" si="37"/>
        <v>25.36675150898116</v>
      </c>
      <c r="V26" s="4">
        <f t="shared" si="38"/>
        <v>5765.1707974957171</v>
      </c>
      <c r="W26" s="4"/>
      <c r="X26" s="21">
        <f t="shared" si="39"/>
        <v>3.0995541922019987</v>
      </c>
      <c r="Y26" s="27" t="str">
        <f t="shared" ref="Y26:Y30" si="44">IF(X26&lt;2,CONCATENATE(TEXT(2/X26,"#.##"),"x"),"&lt;na&gt;")</f>
        <v>&lt;na&gt;</v>
      </c>
      <c r="Z26" s="27" t="str">
        <f t="shared" si="0"/>
        <v>1.13x</v>
      </c>
      <c r="AA26" s="5"/>
      <c r="AB26" s="4"/>
    </row>
    <row r="27" spans="1:28" x14ac:dyDescent="0.35">
      <c r="A27" t="s">
        <v>21</v>
      </c>
      <c r="B27">
        <v>7.0869999999999997</v>
      </c>
      <c r="C27">
        <v>15</v>
      </c>
      <c r="D27">
        <v>1</v>
      </c>
      <c r="E27">
        <v>4.4000000000000004</v>
      </c>
      <c r="F27">
        <v>1200</v>
      </c>
      <c r="G27">
        <v>1600</v>
      </c>
      <c r="H27">
        <v>1</v>
      </c>
      <c r="I27" s="20" t="s">
        <v>76</v>
      </c>
      <c r="J27">
        <v>1860</v>
      </c>
      <c r="K27">
        <v>1</v>
      </c>
      <c r="L27" s="15"/>
      <c r="M27" s="4">
        <f>B27*25.4*C27*D27</f>
        <v>2700.1469999999999</v>
      </c>
      <c r="N27" s="3">
        <f>137/(B27*25.4)</f>
        <v>0.76106967509546708</v>
      </c>
      <c r="O27" s="5">
        <f t="shared" si="35"/>
        <v>6.7223451167658652</v>
      </c>
      <c r="P27" s="5">
        <f t="shared" si="36"/>
        <v>8.9631268223544875</v>
      </c>
      <c r="Q27" s="18"/>
      <c r="R27" s="5">
        <f>206265/M27</f>
        <v>76.390285417793919</v>
      </c>
      <c r="S27" s="6">
        <f t="shared" si="40"/>
        <v>0.33611725583829327</v>
      </c>
      <c r="T27" s="19"/>
      <c r="U27" s="3">
        <f t="shared" si="37"/>
        <v>24.348645771216638</v>
      </c>
      <c r="V27" s="4">
        <f t="shared" si="38"/>
        <v>5533.7831298219626</v>
      </c>
      <c r="W27" s="4"/>
      <c r="X27" s="21">
        <f t="shared" si="39"/>
        <v>2.9751522203343885</v>
      </c>
      <c r="Y27" s="27" t="str">
        <f>IF(X27&lt;2,CONCATENATE(TEXT(2/X27,"#.##"),"x"),"&lt;na&gt;")</f>
        <v>&lt;na&gt;</v>
      </c>
      <c r="Z27" s="27" t="str">
        <f t="shared" si="0"/>
        <v>1.18x</v>
      </c>
      <c r="AA27" s="5"/>
      <c r="AB27" s="4"/>
    </row>
    <row r="28" spans="1:28" x14ac:dyDescent="0.35">
      <c r="A28" t="s">
        <v>27</v>
      </c>
      <c r="B28">
        <v>12.5</v>
      </c>
      <c r="C28">
        <v>7.4</v>
      </c>
      <c r="D28">
        <v>1</v>
      </c>
      <c r="E28">
        <v>4.4000000000000004</v>
      </c>
      <c r="F28">
        <v>1200</v>
      </c>
      <c r="G28">
        <v>1600</v>
      </c>
      <c r="H28">
        <v>1</v>
      </c>
      <c r="I28" s="20" t="s">
        <v>76</v>
      </c>
      <c r="J28">
        <v>1860</v>
      </c>
      <c r="K28">
        <v>1</v>
      </c>
      <c r="L28" s="15"/>
      <c r="M28" s="4">
        <f t="shared" si="41"/>
        <v>2349.5</v>
      </c>
      <c r="N28" s="3">
        <f t="shared" si="42"/>
        <v>0.43149606299212601</v>
      </c>
      <c r="O28" s="5">
        <f t="shared" si="35"/>
        <v>7.7256097041923821</v>
      </c>
      <c r="P28" s="5">
        <f t="shared" si="36"/>
        <v>10.300812938923176</v>
      </c>
      <c r="Q28" s="18"/>
      <c r="R28" s="5">
        <f t="shared" si="43"/>
        <v>87.791019365822521</v>
      </c>
      <c r="S28" s="6">
        <f t="shared" si="40"/>
        <v>0.38628048520961911</v>
      </c>
      <c r="T28" s="19"/>
      <c r="U28" s="3">
        <f t="shared" si="37"/>
        <v>21.186677332557633</v>
      </c>
      <c r="V28" s="4">
        <f t="shared" si="38"/>
        <v>4815.1539392176428</v>
      </c>
      <c r="W28" s="4"/>
      <c r="X28" s="21">
        <f t="shared" si="39"/>
        <v>2.588792440439593</v>
      </c>
      <c r="Y28" s="27" t="str">
        <f t="shared" si="44"/>
        <v>&lt;na&gt;</v>
      </c>
      <c r="Z28" s="27" t="str">
        <f t="shared" si="0"/>
        <v>1.35x</v>
      </c>
      <c r="AA28" s="5"/>
      <c r="AB28" s="4"/>
    </row>
    <row r="29" spans="1:28" x14ac:dyDescent="0.35">
      <c r="A29" t="s">
        <v>14</v>
      </c>
      <c r="B29">
        <v>8</v>
      </c>
      <c r="C29">
        <v>10</v>
      </c>
      <c r="D29">
        <v>1</v>
      </c>
      <c r="E29">
        <v>4.4000000000000004</v>
      </c>
      <c r="F29">
        <v>1200</v>
      </c>
      <c r="G29">
        <v>1600</v>
      </c>
      <c r="H29">
        <v>1</v>
      </c>
      <c r="I29" s="20" t="s">
        <v>76</v>
      </c>
      <c r="J29">
        <v>1860</v>
      </c>
      <c r="K29">
        <v>1</v>
      </c>
      <c r="L29" s="15"/>
      <c r="M29" s="4">
        <f>B29*25.4*C29*D29</f>
        <v>2032</v>
      </c>
      <c r="N29" s="3">
        <f>137/(B29*25.4)</f>
        <v>0.67421259842519687</v>
      </c>
      <c r="O29" s="5">
        <f t="shared" si="35"/>
        <v>8.9327362204724405</v>
      </c>
      <c r="P29" s="5">
        <f t="shared" si="36"/>
        <v>11.910314960629922</v>
      </c>
      <c r="Q29" s="18"/>
      <c r="R29" s="5">
        <f>206265/M29</f>
        <v>101.50836614173228</v>
      </c>
      <c r="S29" s="6">
        <f t="shared" si="40"/>
        <v>0.44663681102362207</v>
      </c>
      <c r="T29" s="19"/>
      <c r="U29" s="3">
        <f t="shared" si="37"/>
        <v>18.323612828157952</v>
      </c>
      <c r="V29" s="4">
        <f t="shared" si="38"/>
        <v>4164.4574609449892</v>
      </c>
      <c r="W29" s="4"/>
      <c r="X29" s="21">
        <f t="shared" si="39"/>
        <v>2.2389556241639723</v>
      </c>
      <c r="Y29" s="27" t="str">
        <f>IF(X29&lt;2,CONCATENATE(TEXT(2/X29,"#.##"),"x"),"&lt;na&gt;")</f>
        <v>&lt;na&gt;</v>
      </c>
      <c r="Z29" s="27" t="str">
        <f t="shared" si="0"/>
        <v>1.56x</v>
      </c>
      <c r="AA29" s="5"/>
      <c r="AB29" s="4"/>
    </row>
    <row r="30" spans="1:28" x14ac:dyDescent="0.35">
      <c r="A30" t="s">
        <v>19</v>
      </c>
      <c r="B30">
        <v>10</v>
      </c>
      <c r="C30">
        <v>6.3</v>
      </c>
      <c r="D30">
        <v>1</v>
      </c>
      <c r="E30">
        <v>4.4000000000000004</v>
      </c>
      <c r="F30">
        <v>1200</v>
      </c>
      <c r="G30">
        <v>1600</v>
      </c>
      <c r="H30">
        <v>1</v>
      </c>
      <c r="I30" s="20" t="s">
        <v>76</v>
      </c>
      <c r="J30">
        <v>1860</v>
      </c>
      <c r="K30">
        <v>1</v>
      </c>
      <c r="L30" s="15"/>
      <c r="M30" s="4">
        <f t="shared" si="41"/>
        <v>1600.2</v>
      </c>
      <c r="N30" s="3">
        <f t="shared" si="42"/>
        <v>0.53937007874015752</v>
      </c>
      <c r="O30" s="5">
        <f t="shared" si="35"/>
        <v>11.343157105361829</v>
      </c>
      <c r="P30" s="5">
        <f t="shared" si="36"/>
        <v>15.124209473815771</v>
      </c>
      <c r="Q30" s="18"/>
      <c r="R30" s="5">
        <f t="shared" si="43"/>
        <v>128.89951256092988</v>
      </c>
      <c r="S30" s="6">
        <f t="shared" si="40"/>
        <v>0.56715785526809148</v>
      </c>
      <c r="T30" s="19"/>
      <c r="U30" s="3">
        <f t="shared" si="37"/>
        <v>14.429845102174388</v>
      </c>
      <c r="V30" s="4">
        <f t="shared" si="38"/>
        <v>3279.5102504941788</v>
      </c>
      <c r="W30" s="4"/>
      <c r="X30" s="21">
        <f t="shared" si="39"/>
        <v>1.7631775540291286</v>
      </c>
      <c r="Y30" s="27" t="str">
        <f t="shared" si="44"/>
        <v>1.13x</v>
      </c>
      <c r="Z30" s="27" t="str">
        <f t="shared" si="0"/>
        <v>1.99x</v>
      </c>
      <c r="AA30" s="5"/>
      <c r="AB30" s="4"/>
    </row>
    <row r="31" spans="1:28" x14ac:dyDescent="0.35">
      <c r="A31" t="s">
        <v>61</v>
      </c>
      <c r="B31">
        <v>3.9369999999999998</v>
      </c>
      <c r="C31">
        <v>5.8</v>
      </c>
      <c r="D31">
        <v>1</v>
      </c>
      <c r="E31">
        <v>4.4000000000000004</v>
      </c>
      <c r="F31">
        <v>1200</v>
      </c>
      <c r="G31">
        <v>1600</v>
      </c>
      <c r="H31">
        <v>1</v>
      </c>
      <c r="I31" s="20" t="s">
        <v>76</v>
      </c>
      <c r="J31">
        <v>1860</v>
      </c>
      <c r="K31">
        <v>1</v>
      </c>
      <c r="L31" s="15"/>
      <c r="M31" s="4">
        <f t="shared" ref="M31" si="45">B31*25.4*C31*D31</f>
        <v>579.99883999999997</v>
      </c>
      <c r="N31" s="3">
        <f t="shared" ref="N31" si="46">137/(B31*25.4)</f>
        <v>1.3700027400054802</v>
      </c>
      <c r="O31" s="5">
        <f t="shared" si="35"/>
        <v>31.295441901228635</v>
      </c>
      <c r="P31" s="5">
        <f t="shared" si="36"/>
        <v>41.727255868304844</v>
      </c>
      <c r="Q31" s="18"/>
      <c r="R31" s="5">
        <f t="shared" ref="R31" si="47">206265/M31</f>
        <v>355.63002160487082</v>
      </c>
      <c r="S31" s="6">
        <f t="shared" si="40"/>
        <v>1.5647720950614317</v>
      </c>
      <c r="T31" s="19"/>
      <c r="U31" s="3">
        <f t="shared" si="37"/>
        <v>5.2301546185731942</v>
      </c>
      <c r="V31" s="4">
        <f t="shared" si="38"/>
        <v>1188.6715042211804</v>
      </c>
      <c r="W31" s="4"/>
      <c r="X31" s="21">
        <f t="shared" si="39"/>
        <v>0.87552861169325424</v>
      </c>
      <c r="Y31" s="27" t="str">
        <f t="shared" ref="Y31" si="48">IF(X31&lt;2,CONCATENATE(TEXT(2/X31,"#.##"),"x"),"&lt;na&gt;")</f>
        <v>2.28x</v>
      </c>
      <c r="Z31" s="27" t="str">
        <f t="shared" si="0"/>
        <v>4.x</v>
      </c>
      <c r="AA31" s="5"/>
      <c r="AB31" s="4"/>
    </row>
    <row r="32" spans="1:28" x14ac:dyDescent="0.35">
      <c r="A32" t="s">
        <v>49</v>
      </c>
      <c r="B32">
        <v>2.36</v>
      </c>
      <c r="C32">
        <v>6.6669999999999998</v>
      </c>
      <c r="D32">
        <v>1</v>
      </c>
      <c r="E32">
        <v>4.4000000000000004</v>
      </c>
      <c r="F32">
        <v>1200</v>
      </c>
      <c r="G32">
        <v>1600</v>
      </c>
      <c r="H32">
        <v>1</v>
      </c>
      <c r="I32" s="20" t="s">
        <v>76</v>
      </c>
      <c r="J32">
        <v>1860</v>
      </c>
      <c r="K32">
        <v>2</v>
      </c>
      <c r="L32" s="15"/>
      <c r="M32" s="4">
        <f>B32*25.4*C32*D32</f>
        <v>399.64664799999997</v>
      </c>
      <c r="N32" s="3">
        <f>137/(B32*25.4)</f>
        <v>2.2854664353396505</v>
      </c>
      <c r="O32" s="5">
        <f t="shared" ref="O32:O34" si="49">R32*F32*E32/1000/60</f>
        <v>45.418421725383787</v>
      </c>
      <c r="P32" s="5">
        <f t="shared" ref="P32:P34" si="50">R32*G32*E32/1000/60</f>
        <v>60.557895633845035</v>
      </c>
      <c r="Q32" s="18"/>
      <c r="R32" s="5">
        <f>206265/M32</f>
        <v>516.11842869754287</v>
      </c>
      <c r="S32" s="6">
        <f t="shared" ref="S32:S34" si="51">R32*(E32/1000)*H32</f>
        <v>2.2709210862691886</v>
      </c>
      <c r="T32" s="19"/>
      <c r="U32" s="3">
        <f t="shared" ref="U32:U34" si="52">J32/R32</f>
        <v>3.6038240383972071</v>
      </c>
      <c r="V32" s="4">
        <f t="shared" ref="V32:V34" si="53">J32/S32</f>
        <v>819.05091781754709</v>
      </c>
      <c r="W32" s="4"/>
      <c r="X32" s="21">
        <f t="shared" ref="X32:X34" si="54">IF(K32=0,N32,IF(K32&lt;N32,N32,K32))/S32</f>
        <v>1.0064050438205046</v>
      </c>
      <c r="Y32" s="27" t="str">
        <f>IF(X32&lt;2,CONCATENATE(TEXT(2/X32,"#.##"),"x"),"&lt;na&gt;")</f>
        <v>1.99x</v>
      </c>
      <c r="Z32" s="27" t="str">
        <f t="shared" si="0"/>
        <v>3.48x</v>
      </c>
      <c r="AA32" s="5"/>
      <c r="AB32" s="4"/>
    </row>
    <row r="33" spans="1:28" x14ac:dyDescent="0.35">
      <c r="A33" t="s">
        <v>50</v>
      </c>
      <c r="B33">
        <v>3.15</v>
      </c>
      <c r="C33">
        <v>7</v>
      </c>
      <c r="D33">
        <v>1</v>
      </c>
      <c r="E33">
        <v>4.4000000000000004</v>
      </c>
      <c r="F33">
        <v>1200</v>
      </c>
      <c r="G33">
        <v>1600</v>
      </c>
      <c r="H33">
        <v>1</v>
      </c>
      <c r="I33" s="20" t="s">
        <v>76</v>
      </c>
      <c r="J33">
        <v>1860</v>
      </c>
      <c r="K33">
        <v>2</v>
      </c>
      <c r="L33" s="15"/>
      <c r="M33" s="4">
        <f t="shared" ref="M33:M34" si="55">B33*25.4*C33*D33</f>
        <v>560.06999999999994</v>
      </c>
      <c r="N33" s="3">
        <f t="shared" ref="N33:N34" si="56">137/(B33*25.4)</f>
        <v>1.7122859642544683</v>
      </c>
      <c r="O33" s="5">
        <f t="shared" si="49"/>
        <v>32.409020301033806</v>
      </c>
      <c r="P33" s="5">
        <f t="shared" si="50"/>
        <v>43.212027068045082</v>
      </c>
      <c r="Q33" s="18"/>
      <c r="R33" s="5">
        <f t="shared" ref="R33:R34" si="57">206265/M33</f>
        <v>368.28432160265686</v>
      </c>
      <c r="S33" s="6">
        <f t="shared" si="51"/>
        <v>1.6204510150516902</v>
      </c>
      <c r="T33" s="19"/>
      <c r="U33" s="3">
        <f t="shared" si="52"/>
        <v>5.0504457857610348</v>
      </c>
      <c r="V33" s="4">
        <f t="shared" si="53"/>
        <v>1147.8285876729624</v>
      </c>
      <c r="W33" s="4"/>
      <c r="X33" s="21">
        <f t="shared" si="54"/>
        <v>1.2342242878203897</v>
      </c>
      <c r="Y33" s="27" t="str">
        <f t="shared" ref="Y33:Y34" si="58">IF(X33&lt;2,CONCATENATE(TEXT(2/X33,"#.##"),"x"),"&lt;na&gt;")</f>
        <v>1.62x</v>
      </c>
      <c r="Z33" s="27" t="str">
        <f t="shared" si="0"/>
        <v>2.84x</v>
      </c>
      <c r="AA33" s="5"/>
      <c r="AB33" s="4"/>
    </row>
    <row r="34" spans="1:28" x14ac:dyDescent="0.35">
      <c r="A34" t="s">
        <v>51</v>
      </c>
      <c r="B34">
        <v>5</v>
      </c>
      <c r="C34">
        <v>5</v>
      </c>
      <c r="D34">
        <v>1</v>
      </c>
      <c r="E34">
        <v>4.4000000000000004</v>
      </c>
      <c r="F34">
        <v>1200</v>
      </c>
      <c r="G34">
        <v>1600</v>
      </c>
      <c r="H34">
        <v>1</v>
      </c>
      <c r="I34" s="20" t="s">
        <v>76</v>
      </c>
      <c r="J34">
        <v>1860</v>
      </c>
      <c r="K34">
        <v>2</v>
      </c>
      <c r="L34" s="15"/>
      <c r="M34" s="4">
        <f t="shared" si="55"/>
        <v>635</v>
      </c>
      <c r="N34" s="3">
        <f t="shared" si="56"/>
        <v>1.078740157480315</v>
      </c>
      <c r="O34" s="5">
        <f t="shared" si="49"/>
        <v>28.584755905511813</v>
      </c>
      <c r="P34" s="5">
        <f t="shared" si="50"/>
        <v>38.113007874015743</v>
      </c>
      <c r="Q34" s="18"/>
      <c r="R34" s="5">
        <f t="shared" si="57"/>
        <v>324.82677165354329</v>
      </c>
      <c r="S34" s="6">
        <f t="shared" si="51"/>
        <v>1.4292377952755906</v>
      </c>
      <c r="T34" s="19"/>
      <c r="U34" s="3">
        <f t="shared" si="52"/>
        <v>5.7261290087993606</v>
      </c>
      <c r="V34" s="4">
        <f t="shared" si="53"/>
        <v>1301.3929565453091</v>
      </c>
      <c r="W34" s="4"/>
      <c r="X34" s="21">
        <f t="shared" si="54"/>
        <v>1.399347265102483</v>
      </c>
      <c r="Y34" s="27" t="str">
        <f t="shared" si="58"/>
        <v>1.43x</v>
      </c>
      <c r="Z34" s="27" t="str">
        <f t="shared" si="0"/>
        <v>2.5x</v>
      </c>
      <c r="AA34" s="5"/>
      <c r="AB34" s="4"/>
    </row>
    <row r="35" spans="1:28" x14ac:dyDescent="0.35">
      <c r="Z35" s="27"/>
    </row>
    <row r="36" spans="1:28" ht="15.5" x14ac:dyDescent="0.35">
      <c r="E36" s="41" t="s">
        <v>77</v>
      </c>
      <c r="F36" s="42"/>
      <c r="G36" s="42"/>
      <c r="H36" s="42"/>
      <c r="Z36" s="27"/>
    </row>
    <row r="37" spans="1:28" ht="15" customHeight="1" x14ac:dyDescent="0.35">
      <c r="A37" t="s">
        <v>78</v>
      </c>
      <c r="B37">
        <v>4.5</v>
      </c>
      <c r="C37">
        <v>3.95</v>
      </c>
      <c r="D37">
        <v>1</v>
      </c>
      <c r="E37">
        <v>3.7</v>
      </c>
      <c r="F37">
        <v>976</v>
      </c>
      <c r="G37">
        <v>1304</v>
      </c>
      <c r="H37">
        <v>1</v>
      </c>
      <c r="I37" s="20" t="s">
        <v>30</v>
      </c>
      <c r="J37">
        <v>44</v>
      </c>
      <c r="K37">
        <v>1</v>
      </c>
      <c r="L37" s="15"/>
      <c r="M37" s="4">
        <f>B37*25.4*C37*D37</f>
        <v>451.48500000000001</v>
      </c>
      <c r="N37" s="3">
        <f>137/(B37*25.4)</f>
        <v>1.1986001749781279</v>
      </c>
      <c r="O37" s="5">
        <f t="shared" ref="O37" si="59">R37*F37*E37/1000/60</f>
        <v>27.496822264305575</v>
      </c>
      <c r="P37" s="5">
        <f t="shared" ref="P37" si="60">R37*G37*E37/1000/60</f>
        <v>36.737557615424656</v>
      </c>
      <c r="Q37" s="18"/>
      <c r="R37" s="5">
        <f>206265/M37</f>
        <v>456.85903186152365</v>
      </c>
      <c r="S37" s="6">
        <f>R37*(E37/1000)*H37</f>
        <v>1.6903784178876375</v>
      </c>
      <c r="T37" s="19"/>
      <c r="U37" s="3">
        <f t="shared" ref="U37" si="61">J37/R37</f>
        <v>9.6309795651225369E-2</v>
      </c>
      <c r="V37" s="4">
        <f t="shared" ref="V37" si="62">J37/S37</f>
        <v>26.029674500331179</v>
      </c>
      <c r="W37" s="4"/>
      <c r="X37" s="21">
        <f t="shared" ref="X37" si="63">IF(K37=0,N37,IF(K37&lt;N37,N37,K37))/S37</f>
        <v>0.70907210024365142</v>
      </c>
      <c r="Y37" s="27" t="str">
        <f>IF(X37&lt;2,CONCATENATE(TEXT(2/X37,"#.##"),"x"),"&lt;na&gt;")</f>
        <v>2.82x</v>
      </c>
      <c r="Z37" s="27" t="str">
        <f t="shared" si="0"/>
        <v>4.94x</v>
      </c>
      <c r="AA37" s="5"/>
      <c r="AB37" s="4"/>
    </row>
    <row r="38" spans="1:28" ht="15" customHeight="1" x14ac:dyDescent="0.35">
      <c r="A38" t="s">
        <v>79</v>
      </c>
      <c r="B38">
        <v>4.5</v>
      </c>
      <c r="C38">
        <v>3.95</v>
      </c>
      <c r="D38">
        <v>1</v>
      </c>
      <c r="E38">
        <v>2.9</v>
      </c>
      <c r="F38">
        <v>1536</v>
      </c>
      <c r="G38">
        <v>2048</v>
      </c>
      <c r="H38">
        <v>1</v>
      </c>
      <c r="I38" s="20" t="s">
        <v>30</v>
      </c>
      <c r="J38">
        <v>44</v>
      </c>
      <c r="K38">
        <v>1</v>
      </c>
      <c r="L38" s="15"/>
      <c r="M38" s="4">
        <f>B38*25.4*C38*D38</f>
        <v>451.48500000000001</v>
      </c>
      <c r="N38" s="3">
        <f>137/(B38*25.4)</f>
        <v>1.1986001749781279</v>
      </c>
      <c r="O38" s="5">
        <f t="shared" ref="O38" si="64">R38*F38*E38/1000/60</f>
        <v>33.917214525399515</v>
      </c>
      <c r="P38" s="5">
        <f t="shared" ref="P38" si="65">R38*G38*E38/1000/60</f>
        <v>45.222952700532687</v>
      </c>
      <c r="Q38" s="18"/>
      <c r="R38" s="5">
        <f>206265/M38</f>
        <v>456.85903186152365</v>
      </c>
      <c r="S38" s="6">
        <f>R38*(E38/1000)*H38</f>
        <v>1.3248911923984186</v>
      </c>
      <c r="T38" s="19"/>
      <c r="U38" s="3">
        <f t="shared" ref="U38" si="66">J38/R38</f>
        <v>9.6309795651225369E-2</v>
      </c>
      <c r="V38" s="4">
        <f t="shared" ref="V38" si="67">J38/S38</f>
        <v>33.210274362491504</v>
      </c>
      <c r="W38" s="4"/>
      <c r="X38" s="21">
        <f t="shared" ref="X38" si="68">IF(K38=0,N38,IF(K38&lt;N38,N38,K38))/S38</f>
        <v>0.90467819686258977</v>
      </c>
      <c r="Y38" s="27" t="str">
        <f>IF(X38&lt;2,CONCATENATE(TEXT(2/X38,"#.##"),"x"),"&lt;na&gt;")</f>
        <v>2.21x</v>
      </c>
      <c r="Z38" s="27" t="str">
        <f t="shared" si="0"/>
        <v>3.87x</v>
      </c>
      <c r="AA38" s="5"/>
      <c r="AB38" s="4"/>
    </row>
    <row r="39" spans="1:28" x14ac:dyDescent="0.35">
      <c r="Z39" s="27"/>
    </row>
  </sheetData>
  <mergeCells count="13">
    <mergeCell ref="X3:Z3"/>
    <mergeCell ref="E36:H36"/>
    <mergeCell ref="E7:H7"/>
    <mergeCell ref="E22:H22"/>
    <mergeCell ref="X5:Z5"/>
    <mergeCell ref="A3:W3"/>
    <mergeCell ref="U5:V5"/>
    <mergeCell ref="O5:P5"/>
    <mergeCell ref="R5:S5"/>
    <mergeCell ref="A5:D5"/>
    <mergeCell ref="E5:H5"/>
    <mergeCell ref="M5:N5"/>
    <mergeCell ref="I5:J5"/>
  </mergeCells>
  <conditionalFormatting sqref="X7:X39">
    <cfRule type="expression" dxfId="7" priority="1" stopIfTrue="1">
      <formula>X7=""</formula>
    </cfRule>
    <cfRule type="expression" dxfId="6" priority="2" stopIfTrue="1">
      <formula>X7&lt;2</formula>
    </cfRule>
    <cfRule type="expression" dxfId="5" priority="3" stopIfTrue="1">
      <formula>X7&lt;3.5</formula>
    </cfRule>
    <cfRule type="expression" dxfId="4" priority="4" stopIfTrue="1">
      <formula>X7&gt;=3.5</formula>
    </cfRule>
  </conditionalFormatting>
  <hyperlinks>
    <hyperlink ref="X4" r:id="rId1" display=" Nyquist Sampling Theorem:" xr:uid="{00000000-0004-0000-0000-000000000000}"/>
    <hyperlink ref="N6" r:id="rId2" xr:uid="{00000000-0004-0000-0000-000001000000}"/>
  </hyperlinks>
  <pageMargins left="0.7" right="0.7" top="0.75" bottom="0.75" header="0.3" footer="0.3"/>
  <pageSetup orientation="portrait" horizontalDpi="0" verticalDpi="0"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S27"/>
  <sheetViews>
    <sheetView workbookViewId="0">
      <pane ySplit="8" topLeftCell="A9" activePane="bottomLeft" state="frozen"/>
      <selection pane="bottomLeft" activeCell="A12" sqref="A12"/>
    </sheetView>
  </sheetViews>
  <sheetFormatPr defaultRowHeight="14.5" x14ac:dyDescent="0.35"/>
  <cols>
    <col min="1" max="1" width="23.54296875" customWidth="1"/>
    <col min="4" max="4" width="7.7265625" customWidth="1"/>
    <col min="5" max="5" width="9.54296875" customWidth="1"/>
    <col min="6" max="6" width="11.26953125" customWidth="1"/>
    <col min="7" max="7" width="1.7265625" customWidth="1"/>
    <col min="8" max="8" width="9.26953125" customWidth="1"/>
    <col min="9" max="9" width="9.453125" customWidth="1"/>
    <col min="10" max="10" width="1.7265625" customWidth="1"/>
    <col min="11" max="11" width="9.1796875" customWidth="1"/>
    <col min="12" max="12" width="8" customWidth="1"/>
    <col min="13" max="13" width="1.7265625" customWidth="1"/>
    <col min="14" max="14" width="8.7265625" customWidth="1"/>
    <col min="16" max="16" width="1.7265625" customWidth="1"/>
    <col min="17" max="17" width="8.26953125" customWidth="1"/>
    <col min="18" max="18" width="8.81640625" customWidth="1"/>
  </cols>
  <sheetData>
    <row r="1" spans="1:19" ht="21" x14ac:dyDescent="0.5">
      <c r="A1" s="1" t="s">
        <v>0</v>
      </c>
      <c r="B1" s="2"/>
      <c r="C1" s="2"/>
      <c r="D1" s="2"/>
      <c r="E1" s="2"/>
    </row>
    <row r="3" spans="1:19" ht="18.5" x14ac:dyDescent="0.45">
      <c r="A3" s="52" t="s">
        <v>2</v>
      </c>
      <c r="B3" s="53"/>
      <c r="C3" s="53"/>
      <c r="D3" s="53"/>
      <c r="E3" s="54"/>
      <c r="H3" s="50" t="s">
        <v>24</v>
      </c>
      <c r="I3" s="48"/>
      <c r="K3" s="32" t="s">
        <v>34</v>
      </c>
      <c r="L3" s="31"/>
      <c r="Q3" s="55" t="s">
        <v>31</v>
      </c>
      <c r="R3" s="53"/>
      <c r="S3" s="53"/>
    </row>
    <row r="4" spans="1:19" ht="60.75" customHeight="1" x14ac:dyDescent="0.35">
      <c r="A4" s="7" t="s">
        <v>73</v>
      </c>
      <c r="B4" s="8" t="s">
        <v>4</v>
      </c>
      <c r="C4" s="8" t="s">
        <v>5</v>
      </c>
      <c r="D4" s="8" t="s">
        <v>6</v>
      </c>
      <c r="E4" s="33" t="s">
        <v>16</v>
      </c>
      <c r="H4" s="11" t="s">
        <v>13</v>
      </c>
      <c r="I4" s="33" t="s">
        <v>25</v>
      </c>
      <c r="K4" s="10" t="s">
        <v>33</v>
      </c>
      <c r="L4" s="33" t="s">
        <v>41</v>
      </c>
      <c r="N4" s="56" t="s">
        <v>47</v>
      </c>
      <c r="O4" s="56"/>
      <c r="Q4" s="40" t="s">
        <v>59</v>
      </c>
      <c r="R4" s="40"/>
      <c r="S4" s="40"/>
    </row>
    <row r="5" spans="1:19" x14ac:dyDescent="0.35">
      <c r="B5" s="34">
        <f>INDEX(Data!B3:B6,Data!A1)</f>
        <v>2.9</v>
      </c>
      <c r="C5" s="34">
        <f>INDEX(Data!C3:C6,Data!A1)</f>
        <v>1036</v>
      </c>
      <c r="D5" s="34">
        <f>INDEX(Data!D3:D6,Data!A1)</f>
        <v>1936</v>
      </c>
      <c r="E5" s="35">
        <v>1</v>
      </c>
      <c r="H5" s="20" t="s">
        <v>30</v>
      </c>
      <c r="I5" s="34">
        <v>40</v>
      </c>
      <c r="K5" s="36">
        <v>1</v>
      </c>
      <c r="L5" s="34">
        <v>1</v>
      </c>
    </row>
    <row r="7" spans="1:19" ht="30.75" customHeight="1" x14ac:dyDescent="0.45">
      <c r="A7" s="30" t="s">
        <v>1</v>
      </c>
      <c r="B7" s="31"/>
      <c r="C7" s="31"/>
      <c r="D7" s="15"/>
      <c r="E7" s="46" t="s">
        <v>15</v>
      </c>
      <c r="F7" s="46"/>
      <c r="G7" s="12"/>
      <c r="H7" s="46" t="s">
        <v>7</v>
      </c>
      <c r="I7" s="46"/>
      <c r="J7" s="17"/>
      <c r="K7" s="46" t="s">
        <v>12</v>
      </c>
      <c r="L7" s="46"/>
      <c r="M7" s="17"/>
      <c r="N7" s="46" t="s">
        <v>32</v>
      </c>
      <c r="O7" s="46"/>
      <c r="P7" s="17"/>
      <c r="Q7" s="57" t="s">
        <v>57</v>
      </c>
      <c r="R7" s="57"/>
      <c r="S7" s="58"/>
    </row>
    <row r="8" spans="1:19" ht="45.75" customHeight="1" x14ac:dyDescent="0.35">
      <c r="A8" s="7" t="s">
        <v>13</v>
      </c>
      <c r="B8" s="8" t="s">
        <v>11</v>
      </c>
      <c r="C8" s="9" t="s">
        <v>3</v>
      </c>
      <c r="D8" s="16"/>
      <c r="E8" s="8" t="s">
        <v>39</v>
      </c>
      <c r="F8" s="23" t="s">
        <v>38</v>
      </c>
      <c r="G8" s="13"/>
      <c r="H8" s="8" t="s">
        <v>9</v>
      </c>
      <c r="I8" s="8" t="s">
        <v>8</v>
      </c>
      <c r="J8" s="13"/>
      <c r="K8" s="8" t="s">
        <v>66</v>
      </c>
      <c r="L8" s="8" t="s">
        <v>67</v>
      </c>
      <c r="M8" s="13"/>
      <c r="N8" s="8" t="s">
        <v>28</v>
      </c>
      <c r="O8" s="8" t="s">
        <v>29</v>
      </c>
      <c r="P8" s="13"/>
      <c r="Q8" s="24" t="s">
        <v>40</v>
      </c>
      <c r="R8" s="24" t="s">
        <v>46</v>
      </c>
      <c r="S8" s="24" t="s">
        <v>58</v>
      </c>
    </row>
    <row r="9" spans="1:19" x14ac:dyDescent="0.35">
      <c r="A9" t="s">
        <v>20</v>
      </c>
      <c r="B9">
        <v>12</v>
      </c>
      <c r="C9">
        <v>10</v>
      </c>
      <c r="D9" s="15"/>
      <c r="E9" s="4">
        <f>B9*25.4*C9*Barlow</f>
        <v>3047.9999999999995</v>
      </c>
      <c r="F9" s="3">
        <f>137/(B9*25.4)</f>
        <v>0.44947506561679795</v>
      </c>
      <c r="G9" s="14"/>
      <c r="H9" s="5">
        <f>K9*PixelSize*Height/1000/60</f>
        <v>3.3885748359580052</v>
      </c>
      <c r="I9" s="5">
        <f>K9*PixelSize*Width/1000/60</f>
        <v>6.3323174540682423</v>
      </c>
      <c r="J9" s="18"/>
      <c r="K9" s="5">
        <f>206265/E9</f>
        <v>67.672244094488192</v>
      </c>
      <c r="L9" s="3">
        <f>K9*(PixelSize/1000)*Binning</f>
        <v>0.19624950787401574</v>
      </c>
      <c r="M9" s="19"/>
      <c r="N9" s="3">
        <f t="shared" ref="N9:O11" si="0">Size/K9</f>
        <v>0.59108428477928876</v>
      </c>
      <c r="O9" s="4">
        <f t="shared" si="0"/>
        <v>203.82216716527199</v>
      </c>
      <c r="P9" s="29"/>
      <c r="Q9" s="21">
        <f>IF(Seeing=0,F9,IF(Seeing&lt;F9,F9,Seeing))/L9</f>
        <v>5.0955541791318</v>
      </c>
      <c r="R9" s="27" t="str">
        <f>IF(Q9&lt;2,CONCATENATE(TEXT(2/Q9,"#.##"),"x"),"&lt;na&gt;")</f>
        <v>&lt;na&gt;</v>
      </c>
      <c r="S9" s="27" t="str">
        <f>IF(Q9&lt;3.5,CONCATENATE(TEXT(3.5/Q9,"#.##"),"x"),"&lt;na&gt;")</f>
        <v>&lt;na&gt;</v>
      </c>
    </row>
    <row r="10" spans="1:19" x14ac:dyDescent="0.35">
      <c r="A10" t="s">
        <v>26</v>
      </c>
      <c r="B10">
        <v>12.375</v>
      </c>
      <c r="C10">
        <v>8.86</v>
      </c>
      <c r="D10" s="15"/>
      <c r="E10" s="4">
        <f>B10*25.4*C10*Barlow</f>
        <v>2784.9194999999995</v>
      </c>
      <c r="F10" s="3">
        <f t="shared" ref="F10:F27" si="1">137/(B10*25.4)</f>
        <v>0.43585460908295554</v>
      </c>
      <c r="G10" s="14"/>
      <c r="H10" s="5">
        <f>K10*PixelSize*Height/1000/60</f>
        <v>3.7086803047628489</v>
      </c>
      <c r="I10" s="5">
        <f>K10*PixelSize*Width/1000/60</f>
        <v>6.9305068243444747</v>
      </c>
      <c r="J10" s="18"/>
      <c r="K10" s="5">
        <f t="shared" ref="K10:K27" si="2">206265/E10</f>
        <v>74.064977461646563</v>
      </c>
      <c r="L10" s="3">
        <f>K10*(PixelSize/1000)*Binning</f>
        <v>0.21478843463877503</v>
      </c>
      <c r="M10" s="19"/>
      <c r="N10" s="3">
        <f t="shared" si="0"/>
        <v>0.54006632244927633</v>
      </c>
      <c r="O10" s="4">
        <f t="shared" si="0"/>
        <v>186.22976636181943</v>
      </c>
      <c r="P10" s="29"/>
      <c r="Q10" s="21">
        <f>IF(Seeing=0,F10,IF(Seeing&lt;F10,F10,Seeing))/L10</f>
        <v>4.6557441590454856</v>
      </c>
      <c r="R10" s="27" t="str">
        <f>IF(Q10&lt;2,CONCATENATE(TEXT(2/Q10,"#.##"),"x"),"&lt;na&gt;")</f>
        <v>&lt;na&gt;</v>
      </c>
      <c r="S10" s="27" t="str">
        <f t="shared" ref="S10:S25" si="3">IF(Q10&lt;3.5,CONCATENATE(TEXT(3.5/Q10,"#.##"),"x"),"&lt;na&gt;")</f>
        <v>&lt;na&gt;</v>
      </c>
    </row>
    <row r="11" spans="1:19" x14ac:dyDescent="0.35">
      <c r="A11" t="s">
        <v>71</v>
      </c>
      <c r="B11">
        <v>9.25</v>
      </c>
      <c r="C11">
        <v>6.3</v>
      </c>
      <c r="D11" s="15"/>
      <c r="E11" s="4">
        <f>B11*25.4*C11*Barlow</f>
        <v>1480.1849999999999</v>
      </c>
      <c r="F11" s="3">
        <f t="shared" si="1"/>
        <v>0.58310278782719727</v>
      </c>
      <c r="G11" s="14"/>
      <c r="H11" s="5">
        <f>K11*PixelSize*Height/1000/60</f>
        <v>6.9777602799650031</v>
      </c>
      <c r="I11" s="5">
        <f>K11*PixelSize*Width/1000/60</f>
        <v>13.039521140938463</v>
      </c>
      <c r="J11" s="18"/>
      <c r="K11" s="5">
        <f t="shared" si="2"/>
        <v>139.35082439019448</v>
      </c>
      <c r="L11" s="3">
        <f>K11*(PixelSize/1000)*Binning</f>
        <v>0.40411739073156394</v>
      </c>
      <c r="M11" s="19"/>
      <c r="N11" s="3">
        <f t="shared" si="0"/>
        <v>0.28704530579594212</v>
      </c>
      <c r="O11" s="4">
        <f t="shared" si="0"/>
        <v>98.981139929635219</v>
      </c>
      <c r="P11" s="29"/>
      <c r="Q11" s="21">
        <f>IF(Seeing=0,F11,IF(Seeing&lt;F11,F11,Seeing))/L11</f>
        <v>2.4745284982408804</v>
      </c>
      <c r="R11" s="27" t="str">
        <f>IF(Q11&lt;2,CONCATENATE(TEXT(2/Q11,"#.##"),"x"),"&lt;na&gt;")</f>
        <v>&lt;na&gt;</v>
      </c>
      <c r="S11" s="27" t="str">
        <f t="shared" ref="S11" si="4">IF(Q11&lt;3.5,CONCATENATE(TEXT(3.5/Q11,"#.##"),"x"),"&lt;na&gt;")</f>
        <v>1.41x</v>
      </c>
    </row>
    <row r="12" spans="1:19" x14ac:dyDescent="0.35">
      <c r="D12" s="15"/>
      <c r="E12" s="4"/>
      <c r="F12" s="3"/>
      <c r="G12" s="14"/>
      <c r="H12" s="5"/>
      <c r="I12" s="5"/>
      <c r="J12" s="18"/>
      <c r="K12" s="5"/>
      <c r="L12" s="3"/>
      <c r="M12" s="19"/>
      <c r="N12" s="3"/>
      <c r="O12" s="4"/>
      <c r="P12" s="29"/>
      <c r="Q12" s="21"/>
      <c r="R12" s="27"/>
      <c r="S12" s="27"/>
    </row>
    <row r="13" spans="1:19" x14ac:dyDescent="0.35">
      <c r="A13" t="s">
        <v>27</v>
      </c>
      <c r="B13">
        <v>12.5</v>
      </c>
      <c r="C13">
        <v>7.4</v>
      </c>
      <c r="D13" s="15"/>
      <c r="E13" s="4">
        <f t="shared" ref="E13:E19" si="5">B13*25.4*C13*Barlow</f>
        <v>2349.5</v>
      </c>
      <c r="F13" s="3">
        <f t="shared" si="1"/>
        <v>0.43149606299212601</v>
      </c>
      <c r="G13" s="14"/>
      <c r="H13" s="5">
        <f t="shared" ref="H13:H19" si="6">K13*PixelSize*Height/1000/60</f>
        <v>4.3959889763779527</v>
      </c>
      <c r="I13" s="5">
        <f t="shared" ref="I13:I19" si="7">K13*PixelSize*Width/1000/60</f>
        <v>8.2148983187912332</v>
      </c>
      <c r="J13" s="18"/>
      <c r="K13" s="5">
        <f t="shared" si="2"/>
        <v>87.791019365822521</v>
      </c>
      <c r="L13" s="3">
        <f t="shared" ref="L13:L19" si="8">K13*(PixelSize/1000)*Binning</f>
        <v>0.25459395616088532</v>
      </c>
      <c r="M13" s="19"/>
      <c r="N13" s="3">
        <f t="shared" ref="N13:O19" si="9">Size/K13</f>
        <v>0.45562746951736838</v>
      </c>
      <c r="O13" s="4">
        <f t="shared" si="9"/>
        <v>157.11292052323049</v>
      </c>
      <c r="P13" s="29"/>
      <c r="Q13" s="21">
        <f t="shared" ref="Q13:Q19" si="10">IF(Seeing=0,F13,IF(Seeing&lt;F13,F13,Seeing))/L13</f>
        <v>3.9278230130807619</v>
      </c>
      <c r="R13" s="27" t="str">
        <f>IF(Q13&lt;2,CONCATENATE(TEXT(2/Q13,"#.##"),"x"),"&lt;na&gt;")</f>
        <v>&lt;na&gt;</v>
      </c>
      <c r="S13" s="27" t="str">
        <f>IF(Q13&lt;3.5,CONCATENATE(TEXT(3.5/Q13,"#.##"),"x"),"&lt;na&gt;")</f>
        <v>&lt;na&gt;</v>
      </c>
    </row>
    <row r="14" spans="1:19" x14ac:dyDescent="0.35">
      <c r="A14" t="s">
        <v>43</v>
      </c>
      <c r="B14">
        <v>14</v>
      </c>
      <c r="C14">
        <v>8</v>
      </c>
      <c r="D14" s="15"/>
      <c r="E14" s="4">
        <f t="shared" si="5"/>
        <v>2844.7999999999997</v>
      </c>
      <c r="F14" s="3">
        <f t="shared" si="1"/>
        <v>0.3852643419572554</v>
      </c>
      <c r="G14" s="14"/>
      <c r="H14" s="5">
        <f t="shared" si="6"/>
        <v>3.6306158956692918</v>
      </c>
      <c r="I14" s="5">
        <f t="shared" si="7"/>
        <v>6.7846258436445455</v>
      </c>
      <c r="J14" s="18"/>
      <c r="K14" s="5">
        <f t="shared" si="2"/>
        <v>72.505975815523072</v>
      </c>
      <c r="L14" s="3">
        <f t="shared" si="8"/>
        <v>0.21026732986501689</v>
      </c>
      <c r="M14" s="19"/>
      <c r="N14" s="3">
        <f t="shared" si="9"/>
        <v>0.55167866579400271</v>
      </c>
      <c r="O14" s="4">
        <f t="shared" si="9"/>
        <v>190.23402268758718</v>
      </c>
      <c r="P14" s="29"/>
      <c r="Q14" s="21">
        <f t="shared" si="10"/>
        <v>4.7558505671896789</v>
      </c>
      <c r="R14" s="27" t="str">
        <f t="shared" ref="R14:R17" si="11">IF(Q14&lt;2,CONCATENATE(TEXT(2/Q14,"#.##"),"x"),"&lt;na&gt;")</f>
        <v>&lt;na&gt;</v>
      </c>
      <c r="S14" s="27" t="str">
        <f t="shared" si="3"/>
        <v>&lt;na&gt;</v>
      </c>
    </row>
    <row r="15" spans="1:19" x14ac:dyDescent="0.35">
      <c r="A15" t="s">
        <v>14</v>
      </c>
      <c r="B15">
        <v>8</v>
      </c>
      <c r="C15">
        <v>10</v>
      </c>
      <c r="D15" s="15"/>
      <c r="E15" s="4">
        <f t="shared" si="5"/>
        <v>2032</v>
      </c>
      <c r="F15" s="3">
        <f t="shared" si="1"/>
        <v>0.67421259842519687</v>
      </c>
      <c r="G15" s="14"/>
      <c r="H15" s="5">
        <f t="shared" si="6"/>
        <v>5.082862253937007</v>
      </c>
      <c r="I15" s="5">
        <f t="shared" si="7"/>
        <v>9.4984761811023599</v>
      </c>
      <c r="J15" s="18"/>
      <c r="K15" s="5">
        <f t="shared" si="2"/>
        <v>101.50836614173228</v>
      </c>
      <c r="L15" s="3">
        <f t="shared" si="8"/>
        <v>0.29437426181102361</v>
      </c>
      <c r="M15" s="19"/>
      <c r="N15" s="3">
        <f t="shared" si="9"/>
        <v>0.39405618985285917</v>
      </c>
      <c r="O15" s="4">
        <f t="shared" si="9"/>
        <v>135.88144477684801</v>
      </c>
      <c r="P15" s="29"/>
      <c r="Q15" s="21">
        <f t="shared" si="10"/>
        <v>3.3970361194212</v>
      </c>
      <c r="R15" s="27" t="str">
        <f t="shared" si="11"/>
        <v>&lt;na&gt;</v>
      </c>
      <c r="S15" s="27" t="str">
        <f t="shared" si="3"/>
        <v>1.03x</v>
      </c>
    </row>
    <row r="16" spans="1:19" x14ac:dyDescent="0.35">
      <c r="A16" t="s">
        <v>60</v>
      </c>
      <c r="B16">
        <v>10</v>
      </c>
      <c r="C16">
        <v>6.3</v>
      </c>
      <c r="D16" s="15"/>
      <c r="E16" s="4">
        <f t="shared" si="5"/>
        <v>1600.2</v>
      </c>
      <c r="F16" s="3">
        <f t="shared" si="1"/>
        <v>0.53937007874015752</v>
      </c>
      <c r="G16" s="14"/>
      <c r="H16" s="5">
        <f t="shared" si="6"/>
        <v>6.4544282589676278</v>
      </c>
      <c r="I16" s="5">
        <f t="shared" si="7"/>
        <v>12.061557055368079</v>
      </c>
      <c r="J16" s="18"/>
      <c r="K16" s="5">
        <f t="shared" si="2"/>
        <v>128.89951256092988</v>
      </c>
      <c r="L16" s="3">
        <f t="shared" si="8"/>
        <v>0.37380858642669662</v>
      </c>
      <c r="M16" s="19"/>
      <c r="N16" s="3">
        <f t="shared" si="9"/>
        <v>0.31031924950912665</v>
      </c>
      <c r="O16" s="4">
        <f t="shared" si="9"/>
        <v>107.00663776176781</v>
      </c>
      <c r="P16" s="29"/>
      <c r="Q16" s="21">
        <f t="shared" si="10"/>
        <v>2.6751659440441951</v>
      </c>
      <c r="R16" s="27" t="str">
        <f t="shared" si="11"/>
        <v>&lt;na&gt;</v>
      </c>
      <c r="S16" s="27" t="str">
        <f t="shared" si="3"/>
        <v>1.31x</v>
      </c>
    </row>
    <row r="17" spans="1:19" x14ac:dyDescent="0.35">
      <c r="A17" t="s">
        <v>61</v>
      </c>
      <c r="B17">
        <v>3.9369999999999998</v>
      </c>
      <c r="C17">
        <v>5.8</v>
      </c>
      <c r="D17" s="15"/>
      <c r="E17" s="4">
        <f t="shared" si="5"/>
        <v>579.99883999999997</v>
      </c>
      <c r="F17" s="3">
        <f t="shared" si="1"/>
        <v>1.3700027400054802</v>
      </c>
      <c r="G17" s="14"/>
      <c r="H17" s="5">
        <f t="shared" si="6"/>
        <v>17.807580615161232</v>
      </c>
      <c r="I17" s="5">
        <f t="shared" si="7"/>
        <v>33.277486554973102</v>
      </c>
      <c r="J17" s="18"/>
      <c r="K17" s="5">
        <f t="shared" si="2"/>
        <v>355.63002160487082</v>
      </c>
      <c r="L17" s="3">
        <f t="shared" si="8"/>
        <v>1.0313270626541253</v>
      </c>
      <c r="M17" s="19"/>
      <c r="N17" s="3">
        <f t="shared" si="9"/>
        <v>0.11247644341017622</v>
      </c>
      <c r="O17" s="4">
        <f t="shared" si="9"/>
        <v>38.784980486267663</v>
      </c>
      <c r="P17" s="29"/>
      <c r="Q17" s="21">
        <f t="shared" si="10"/>
        <v>1.3283882384311445</v>
      </c>
      <c r="R17" s="27" t="str">
        <f t="shared" si="11"/>
        <v>1.51x</v>
      </c>
      <c r="S17" s="27" t="str">
        <f t="shared" si="3"/>
        <v>2.63x</v>
      </c>
    </row>
    <row r="18" spans="1:19" x14ac:dyDescent="0.35">
      <c r="A18" t="s">
        <v>62</v>
      </c>
      <c r="B18">
        <v>3.15</v>
      </c>
      <c r="C18">
        <v>7</v>
      </c>
      <c r="D18" s="15"/>
      <c r="E18" s="4">
        <f t="shared" si="5"/>
        <v>560.06999999999994</v>
      </c>
      <c r="F18" s="3">
        <f t="shared" si="1"/>
        <v>1.7122859642544683</v>
      </c>
      <c r="G18" s="14"/>
      <c r="H18" s="5">
        <f t="shared" si="6"/>
        <v>18.441223597050374</v>
      </c>
      <c r="I18" s="5">
        <f t="shared" si="7"/>
        <v>34.461591586765948</v>
      </c>
      <c r="J18" s="18"/>
      <c r="K18" s="5">
        <f t="shared" si="2"/>
        <v>368.28432160265686</v>
      </c>
      <c r="L18" s="3">
        <f t="shared" si="8"/>
        <v>1.0680245326477049</v>
      </c>
      <c r="M18" s="19"/>
      <c r="N18" s="3">
        <f t="shared" si="9"/>
        <v>0.1086117373281943</v>
      </c>
      <c r="O18" s="4">
        <f t="shared" si="9"/>
        <v>37.452323216618723</v>
      </c>
      <c r="P18" s="29"/>
      <c r="Q18" s="21">
        <f t="shared" si="10"/>
        <v>1.60322718431345</v>
      </c>
      <c r="R18" s="27" t="str">
        <f t="shared" ref="R18" si="12">IF(Q18&lt;2,CONCATENATE(TEXT(2/Q18,"#.##"),"x"),"&lt;na&gt;")</f>
        <v>1.25x</v>
      </c>
      <c r="S18" s="27" t="str">
        <f t="shared" si="3"/>
        <v>2.18x</v>
      </c>
    </row>
    <row r="19" spans="1:19" x14ac:dyDescent="0.35">
      <c r="A19" t="s">
        <v>54</v>
      </c>
      <c r="B19">
        <v>5</v>
      </c>
      <c r="C19">
        <v>5</v>
      </c>
      <c r="D19" s="15"/>
      <c r="E19" s="4">
        <f t="shared" si="5"/>
        <v>635</v>
      </c>
      <c r="F19" s="3">
        <f t="shared" si="1"/>
        <v>1.078740157480315</v>
      </c>
      <c r="G19" s="14"/>
      <c r="H19" s="5">
        <f t="shared" si="6"/>
        <v>16.265159212598423</v>
      </c>
      <c r="I19" s="5">
        <f t="shared" si="7"/>
        <v>30.395123779527559</v>
      </c>
      <c r="J19" s="18"/>
      <c r="K19" s="5">
        <f t="shared" si="2"/>
        <v>324.82677165354329</v>
      </c>
      <c r="L19" s="3">
        <f t="shared" si="8"/>
        <v>0.94199763779527546</v>
      </c>
      <c r="M19" s="19"/>
      <c r="N19" s="3">
        <f t="shared" si="9"/>
        <v>0.12314255932901851</v>
      </c>
      <c r="O19" s="4">
        <f t="shared" si="9"/>
        <v>42.462951492765008</v>
      </c>
      <c r="P19" s="29"/>
      <c r="Q19" s="21">
        <f t="shared" si="10"/>
        <v>1.1451622745096075</v>
      </c>
      <c r="R19" s="27" t="str">
        <f t="shared" ref="R19" si="13">IF(Q19&lt;2,CONCATENATE(TEXT(2/Q19,"#.##"),"x"),"&lt;na&gt;")</f>
        <v>1.75x</v>
      </c>
      <c r="S19" s="27" t="str">
        <f>IF(Q19&lt;3.5,CONCATENATE(TEXT(3.5/Q19,"#.##"),"x"),"&lt;na&gt;")</f>
        <v>3.06x</v>
      </c>
    </row>
    <row r="20" spans="1:19" x14ac:dyDescent="0.35">
      <c r="D20" s="15"/>
      <c r="E20" s="4"/>
      <c r="F20" s="3"/>
      <c r="G20" s="14"/>
      <c r="H20" s="5"/>
      <c r="I20" s="5"/>
      <c r="J20" s="18"/>
      <c r="K20" s="5"/>
      <c r="L20" s="3"/>
      <c r="M20" s="19"/>
      <c r="N20" s="3"/>
      <c r="O20" s="4"/>
      <c r="P20" s="29"/>
      <c r="Q20" s="21"/>
      <c r="R20" s="27"/>
      <c r="S20" s="27"/>
    </row>
    <row r="21" spans="1:19" ht="15.5" x14ac:dyDescent="0.35">
      <c r="A21" s="38" t="s">
        <v>65</v>
      </c>
      <c r="D21" s="15"/>
      <c r="E21" s="4"/>
      <c r="F21" s="3"/>
      <c r="G21" s="14"/>
      <c r="H21" s="5"/>
      <c r="I21" s="5"/>
      <c r="J21" s="18"/>
      <c r="K21" s="5"/>
      <c r="L21" s="3"/>
      <c r="M21" s="19"/>
      <c r="N21" s="3"/>
      <c r="O21" s="4"/>
      <c r="P21" s="29"/>
      <c r="Q21" s="21"/>
      <c r="R21" s="27"/>
      <c r="S21" s="27"/>
    </row>
    <row r="22" spans="1:19" x14ac:dyDescent="0.35">
      <c r="A22" t="s">
        <v>63</v>
      </c>
      <c r="B22">
        <v>7.0869999999999997</v>
      </c>
      <c r="C22">
        <v>15</v>
      </c>
      <c r="D22" s="15"/>
      <c r="E22" s="4">
        <f t="shared" ref="E22:E27" si="14">B22*25.4*C22*Barlow</f>
        <v>2700.1469999999999</v>
      </c>
      <c r="F22" s="3">
        <f t="shared" si="1"/>
        <v>0.76106967509546708</v>
      </c>
      <c r="G22" s="14"/>
      <c r="H22" s="5">
        <f t="shared" ref="H22:H27" si="15">K22*PixelSize*Height/1000/60</f>
        <v>3.8251162251536668</v>
      </c>
      <c r="I22" s="5">
        <f t="shared" ref="I22:I27" si="16">K22*PixelSize*Width/1000/60</f>
        <v>7.1480936408277023</v>
      </c>
      <c r="J22" s="18"/>
      <c r="K22" s="5">
        <f t="shared" si="2"/>
        <v>76.390285417793919</v>
      </c>
      <c r="L22" s="3">
        <f t="shared" ref="L22:L27" si="17">K22*(PixelSize/1000)*Binning</f>
        <v>0.22153182771160235</v>
      </c>
      <c r="M22" s="19"/>
      <c r="N22" s="3">
        <f t="shared" ref="N22:O27" si="18">Size/K22</f>
        <v>0.52362679077885244</v>
      </c>
      <c r="O22" s="4">
        <f t="shared" si="18"/>
        <v>180.56096233753536</v>
      </c>
      <c r="P22" s="29"/>
      <c r="Q22" s="21">
        <f t="shared" ref="Q22:Q27" si="19">IF(Seeing=0,F22,IF(Seeing&lt;F22,F22,Seeing))/L22</f>
        <v>4.5140240584383839</v>
      </c>
      <c r="R22" s="27" t="str">
        <f>IF(Q22&lt;2,CONCATENATE(TEXT(2/Q22,"#.##"),"x"),"&lt;na&gt;")</f>
        <v>&lt;na&gt;</v>
      </c>
      <c r="S22" s="27" t="str">
        <f>IF(Q22&lt;3.5,CONCATENATE(TEXT(3.5/Q22,"#.##"),"x"),"&lt;na&gt;")</f>
        <v>&lt;na&gt;</v>
      </c>
    </row>
    <row r="23" spans="1:19" x14ac:dyDescent="0.35">
      <c r="A23" t="s">
        <v>70</v>
      </c>
      <c r="B23">
        <v>2.36</v>
      </c>
      <c r="C23">
        <v>6.6669999999999998</v>
      </c>
      <c r="D23" s="15"/>
      <c r="E23" s="4">
        <f t="shared" si="14"/>
        <v>399.64664799999997</v>
      </c>
      <c r="F23" s="3">
        <f t="shared" si="1"/>
        <v>2.2854664353396505</v>
      </c>
      <c r="G23" s="14"/>
      <c r="H23" s="5">
        <f t="shared" si="15"/>
        <v>25.843770119648294</v>
      </c>
      <c r="I23" s="5">
        <f t="shared" si="16"/>
        <v>48.294921767991404</v>
      </c>
      <c r="J23" s="18"/>
      <c r="K23" s="5">
        <f t="shared" si="2"/>
        <v>516.11842869754287</v>
      </c>
      <c r="L23" s="3">
        <f t="shared" si="17"/>
        <v>1.4967434432228741</v>
      </c>
      <c r="M23" s="19"/>
      <c r="N23" s="3">
        <f t="shared" si="18"/>
        <v>7.7501592223595858E-2</v>
      </c>
      <c r="O23" s="4">
        <f t="shared" si="18"/>
        <v>26.724686973653746</v>
      </c>
      <c r="P23" s="29"/>
      <c r="Q23" s="21">
        <f t="shared" si="19"/>
        <v>1.5269593768311105</v>
      </c>
      <c r="R23" s="27" t="str">
        <f t="shared" ref="R23" si="20">IF(Q23&lt;2,CONCATENATE(TEXT(2/Q23,"#.##"),"x"),"&lt;na&gt;")</f>
        <v>1.31x</v>
      </c>
      <c r="S23" s="27" t="str">
        <f>IF(Q23&lt;3.5,CONCATENATE(TEXT(3.5/Q23,"#.##"),"x"),"&lt;na&gt;")</f>
        <v>2.29x</v>
      </c>
    </row>
    <row r="24" spans="1:19" x14ac:dyDescent="0.35">
      <c r="A24" t="s">
        <v>56</v>
      </c>
      <c r="B24">
        <v>3.15</v>
      </c>
      <c r="C24">
        <v>5</v>
      </c>
      <c r="D24" s="15"/>
      <c r="E24" s="4">
        <f t="shared" si="14"/>
        <v>400.04999999999995</v>
      </c>
      <c r="F24" s="3">
        <f t="shared" si="1"/>
        <v>1.7122859642544683</v>
      </c>
      <c r="G24" s="14"/>
      <c r="H24" s="5">
        <f t="shared" si="15"/>
        <v>25.817713035870518</v>
      </c>
      <c r="I24" s="5">
        <f t="shared" si="16"/>
        <v>48.246228221472322</v>
      </c>
      <c r="J24" s="18"/>
      <c r="K24" s="5">
        <f t="shared" si="2"/>
        <v>515.59805024371963</v>
      </c>
      <c r="L24" s="3">
        <f t="shared" si="17"/>
        <v>1.4952343457067867</v>
      </c>
      <c r="M24" s="19"/>
      <c r="N24" s="3">
        <f t="shared" si="18"/>
        <v>7.7579812377281634E-2</v>
      </c>
      <c r="O24" s="4">
        <f t="shared" si="18"/>
        <v>26.751659440441948</v>
      </c>
      <c r="P24" s="29"/>
      <c r="Q24" s="21">
        <f t="shared" si="19"/>
        <v>1.1451622745096073</v>
      </c>
      <c r="R24" s="27" t="str">
        <f t="shared" ref="R24" si="21">IF(Q24&lt;2,CONCATENATE(TEXT(2/Q24,"#.##"),"x"),"&lt;na&gt;")</f>
        <v>1.75x</v>
      </c>
      <c r="S24" s="27" t="str">
        <f>IF(Q24&lt;3.5,CONCATENATE(TEXT(3.5/Q24,"#.##"),"x"),"&lt;na&gt;")</f>
        <v>3.06x</v>
      </c>
    </row>
    <row r="25" spans="1:19" x14ac:dyDescent="0.35">
      <c r="A25" t="s">
        <v>55</v>
      </c>
      <c r="B25">
        <v>6</v>
      </c>
      <c r="C25">
        <v>6.08</v>
      </c>
      <c r="D25" s="15"/>
      <c r="E25" s="4">
        <f t="shared" si="14"/>
        <v>926.59199999999987</v>
      </c>
      <c r="F25" s="3">
        <f t="shared" si="1"/>
        <v>0.89895013123359591</v>
      </c>
      <c r="G25" s="14"/>
      <c r="H25" s="5">
        <f t="shared" si="15"/>
        <v>11.14662774986186</v>
      </c>
      <c r="I25" s="5">
        <f t="shared" si="16"/>
        <v>20.82999162522448</v>
      </c>
      <c r="J25" s="18"/>
      <c r="K25" s="5">
        <f t="shared" si="2"/>
        <v>222.60606610029012</v>
      </c>
      <c r="L25" s="3">
        <f t="shared" si="17"/>
        <v>0.64555759169084126</v>
      </c>
      <c r="M25" s="19"/>
      <c r="N25" s="3">
        <f t="shared" si="18"/>
        <v>0.17968962257290377</v>
      </c>
      <c r="O25" s="4">
        <f t="shared" si="18"/>
        <v>61.961938818242686</v>
      </c>
      <c r="P25" s="29"/>
      <c r="Q25" s="21">
        <f t="shared" si="19"/>
        <v>1.5490484704560672</v>
      </c>
      <c r="R25" s="27" t="str">
        <f t="shared" ref="R25" si="22">IF(Q25&lt;2,CONCATENATE(TEXT(2/Q25,"#.##"),"x"),"&lt;na&gt;")</f>
        <v>1.29x</v>
      </c>
      <c r="S25" s="27" t="str">
        <f t="shared" si="3"/>
        <v>2.26x</v>
      </c>
    </row>
    <row r="26" spans="1:19" x14ac:dyDescent="0.35">
      <c r="A26" t="s">
        <v>68</v>
      </c>
      <c r="B26">
        <v>10</v>
      </c>
      <c r="C26">
        <v>4.5</v>
      </c>
      <c r="D26" s="15"/>
      <c r="E26" s="4">
        <f t="shared" si="14"/>
        <v>1143</v>
      </c>
      <c r="F26" s="3">
        <f t="shared" si="1"/>
        <v>0.53937007874015752</v>
      </c>
      <c r="G26" s="14"/>
      <c r="H26" s="5">
        <f t="shared" si="15"/>
        <v>9.0361995625546818</v>
      </c>
      <c r="I26" s="5">
        <f t="shared" si="16"/>
        <v>16.88617987751531</v>
      </c>
      <c r="J26" s="18"/>
      <c r="K26" s="5">
        <f t="shared" si="2"/>
        <v>180.45931758530185</v>
      </c>
      <c r="L26" s="3">
        <f t="shared" si="17"/>
        <v>0.5233320209973753</v>
      </c>
      <c r="M26" s="19"/>
      <c r="N26" s="3">
        <f t="shared" si="18"/>
        <v>0.22165660679223328</v>
      </c>
      <c r="O26" s="4">
        <f t="shared" si="18"/>
        <v>76.433312686977004</v>
      </c>
      <c r="P26" s="29"/>
      <c r="Q26" s="21">
        <f t="shared" si="19"/>
        <v>1.9108328171744251</v>
      </c>
      <c r="R26" s="27" t="str">
        <f t="shared" ref="R26" si="23">IF(Q26&lt;2,CONCATENATE(TEXT(2/Q26,"#.##"),"x"),"&lt;na&gt;")</f>
        <v>1.05x</v>
      </c>
      <c r="S26" s="27" t="str">
        <f t="shared" ref="S26" si="24">IF(Q26&lt;3.5,CONCATENATE(TEXT(3.5/Q26,"#.##"),"x"),"&lt;na&gt;")</f>
        <v>1.83x</v>
      </c>
    </row>
    <row r="27" spans="1:19" x14ac:dyDescent="0.35">
      <c r="A27" t="s">
        <v>69</v>
      </c>
      <c r="B27">
        <v>16</v>
      </c>
      <c r="C27">
        <v>4.4800000000000004</v>
      </c>
      <c r="D27" s="15"/>
      <c r="E27" s="4">
        <f t="shared" si="14"/>
        <v>1820.672</v>
      </c>
      <c r="F27" s="3">
        <f t="shared" si="1"/>
        <v>0.33710629921259844</v>
      </c>
      <c r="G27" s="14"/>
      <c r="H27" s="5">
        <f t="shared" si="15"/>
        <v>5.6728373369832674</v>
      </c>
      <c r="I27" s="5">
        <f t="shared" si="16"/>
        <v>10.600977880694602</v>
      </c>
      <c r="J27" s="18"/>
      <c r="K27" s="5">
        <f t="shared" si="2"/>
        <v>113.29058721175478</v>
      </c>
      <c r="L27" s="3">
        <f t="shared" si="17"/>
        <v>0.32854270291408882</v>
      </c>
      <c r="M27" s="19"/>
      <c r="N27" s="3">
        <f t="shared" si="18"/>
        <v>0.3530743461081618</v>
      </c>
      <c r="O27" s="4">
        <f t="shared" si="18"/>
        <v>121.74977452005582</v>
      </c>
      <c r="P27" s="29"/>
      <c r="Q27" s="21">
        <f t="shared" si="19"/>
        <v>3.0437443630013954</v>
      </c>
      <c r="R27" s="27" t="str">
        <f t="shared" ref="R27" si="25">IF(Q27&lt;2,CONCATENATE(TEXT(2/Q27,"#.##"),"x"),"&lt;na&gt;")</f>
        <v>&lt;na&gt;</v>
      </c>
      <c r="S27" s="27" t="str">
        <f t="shared" ref="S27" si="26">IF(Q27&lt;3.5,CONCATENATE(TEXT(3.5/Q27,"#.##"),"x"),"&lt;na&gt;")</f>
        <v>1.15x</v>
      </c>
    </row>
  </sheetData>
  <mergeCells count="10">
    <mergeCell ref="Q3:S3"/>
    <mergeCell ref="N4:O4"/>
    <mergeCell ref="Q4:S4"/>
    <mergeCell ref="Q7:S7"/>
    <mergeCell ref="H3:I3"/>
    <mergeCell ref="A3:E3"/>
    <mergeCell ref="N7:O7"/>
    <mergeCell ref="E7:F7"/>
    <mergeCell ref="H7:I7"/>
    <mergeCell ref="K7:L7"/>
  </mergeCells>
  <conditionalFormatting sqref="Q9:Q27">
    <cfRule type="expression" dxfId="3" priority="17" stopIfTrue="1">
      <formula>Q9=""</formula>
    </cfRule>
    <cfRule type="expression" dxfId="2" priority="18" stopIfTrue="1">
      <formula>Q9&lt;2</formula>
    </cfRule>
    <cfRule type="expression" dxfId="1" priority="19" stopIfTrue="1">
      <formula>Q9&lt;3.5</formula>
    </cfRule>
    <cfRule type="expression" dxfId="0" priority="20" stopIfTrue="1">
      <formula>Q9&gt;=3.5</formula>
    </cfRule>
  </conditionalFormatting>
  <hyperlinks>
    <hyperlink ref="F8" r:id="rId1" xr:uid="{00000000-0004-0000-0100-000000000000}"/>
    <hyperlink ref="Q3" r:id="rId2" display=" Nyquist Sampling Theorem:" xr:uid="{00000000-0004-0000-0100-000001000000}"/>
  </hyperlinks>
  <pageMargins left="0.7" right="0.7" top="0.75" bottom="0.75" header="0.3" footer="0.3"/>
  <pageSetup orientation="portrait" r:id="rId3"/>
  <drawing r:id="rId4"/>
  <legacyDrawing r:id="rId5"/>
  <mc:AlternateContent xmlns:mc="http://schemas.openxmlformats.org/markup-compatibility/2006">
    <mc:Choice Requires="x14">
      <controls>
        <mc:AlternateContent xmlns:mc="http://schemas.openxmlformats.org/markup-compatibility/2006">
          <mc:Choice Requires="x14">
            <control shapeId="1026" r:id="rId6" name="Drop Down 2">
              <controlPr defaultSize="0" autoLine="0" autoPict="0">
                <anchor moveWithCells="1">
                  <from>
                    <xdr:col>0</xdr:col>
                    <xdr:colOff>19050</xdr:colOff>
                    <xdr:row>4</xdr:row>
                    <xdr:rowOff>19050</xdr:rowOff>
                  </from>
                  <to>
                    <xdr:col>0</xdr:col>
                    <xdr:colOff>1543050</xdr:colOff>
                    <xdr:row>5</xdr:row>
                    <xdr:rowOff>31750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DBD326-8221-4F4B-8ED6-E98E92DF5F5F}">
  <sheetPr codeName="Sheet2"/>
  <dimension ref="A1:D6"/>
  <sheetViews>
    <sheetView workbookViewId="0">
      <selection activeCell="B6" sqref="B6:D6"/>
    </sheetView>
  </sheetViews>
  <sheetFormatPr defaultRowHeight="14.5" x14ac:dyDescent="0.35"/>
  <cols>
    <col min="1" max="1" width="18.26953125" customWidth="1"/>
    <col min="2" max="2" width="9.453125" bestFit="1" customWidth="1"/>
    <col min="3" max="4" width="7.7265625" bestFit="1" customWidth="1"/>
  </cols>
  <sheetData>
    <row r="1" spans="1:4" x14ac:dyDescent="0.35">
      <c r="A1">
        <v>1</v>
      </c>
    </row>
    <row r="2" spans="1:4" ht="29" x14ac:dyDescent="0.35">
      <c r="A2" s="39" t="s">
        <v>73</v>
      </c>
      <c r="B2" s="39" t="s">
        <v>72</v>
      </c>
      <c r="C2" s="39" t="s">
        <v>5</v>
      </c>
      <c r="D2" s="39" t="s">
        <v>6</v>
      </c>
    </row>
    <row r="3" spans="1:4" x14ac:dyDescent="0.35">
      <c r="A3" t="s">
        <v>75</v>
      </c>
      <c r="B3">
        <v>2.9</v>
      </c>
      <c r="C3" s="34">
        <v>1036</v>
      </c>
      <c r="D3" s="34">
        <v>1936</v>
      </c>
    </row>
    <row r="4" spans="1:4" x14ac:dyDescent="0.35">
      <c r="A4" t="s">
        <v>52</v>
      </c>
      <c r="B4">
        <v>3.75</v>
      </c>
      <c r="C4">
        <v>1280</v>
      </c>
      <c r="D4">
        <v>960</v>
      </c>
    </row>
    <row r="5" spans="1:4" x14ac:dyDescent="0.35">
      <c r="A5" t="s">
        <v>53</v>
      </c>
      <c r="B5">
        <v>5.6</v>
      </c>
      <c r="C5">
        <v>480</v>
      </c>
      <c r="D5">
        <v>640</v>
      </c>
    </row>
    <row r="6" spans="1:4" x14ac:dyDescent="0.35">
      <c r="A6" t="s">
        <v>74</v>
      </c>
      <c r="B6">
        <v>4.4000000000000004</v>
      </c>
      <c r="C6">
        <v>1200</v>
      </c>
      <c r="D6">
        <v>1600</v>
      </c>
    </row>
  </sheetData>
  <pageMargins left="0.7" right="0.7" top="0.75" bottom="0.75" header="0.3" footer="0.3"/>
  <pageSetup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7</vt:i4>
      </vt:variant>
    </vt:vector>
  </HeadingPairs>
  <TitlesOfParts>
    <vt:vector size="10" baseType="lpstr">
      <vt:lpstr>Any camera --&gt; any scope</vt:lpstr>
      <vt:lpstr>1 Camera for all scopes</vt:lpstr>
      <vt:lpstr>Data</vt:lpstr>
      <vt:lpstr>Barlow</vt:lpstr>
      <vt:lpstr>Binning</vt:lpstr>
      <vt:lpstr>Height</vt:lpstr>
      <vt:lpstr>PixelSize</vt:lpstr>
      <vt:lpstr>Seeing</vt:lpstr>
      <vt:lpstr>Size</vt:lpstr>
      <vt:lpstr>Width</vt:lpstr>
    </vt:vector>
  </TitlesOfParts>
  <Company>Johnson Controls,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Lee Keith</dc:creator>
  <cp:lastModifiedBy>leekeith3@juno.com</cp:lastModifiedBy>
  <dcterms:created xsi:type="dcterms:W3CDTF">2015-04-26T16:54:55Z</dcterms:created>
  <dcterms:modified xsi:type="dcterms:W3CDTF">2023-08-25T18:58:15Z</dcterms:modified>
</cp:coreProperties>
</file>